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795" windowHeight="12600" activeTab="1"/>
  </bookViews>
  <sheets>
    <sheet name="MEMÓRIA DE CÁLCULO" sheetId="1" r:id="rId1"/>
    <sheet name="PLANILHA DE ORÇAMENTO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P81" i="2" l="1"/>
  <c r="I62" i="2"/>
  <c r="P25" i="2"/>
  <c r="R25" i="2" s="1"/>
  <c r="U49" i="2"/>
  <c r="U50" i="2"/>
  <c r="U51" i="2"/>
  <c r="U52" i="2"/>
  <c r="U54" i="2"/>
  <c r="U55" i="2"/>
  <c r="U56" i="2"/>
  <c r="U57" i="2"/>
  <c r="U58" i="2"/>
  <c r="U59" i="2"/>
  <c r="U60" i="2"/>
  <c r="U61" i="2"/>
  <c r="U48" i="2"/>
  <c r="W53" i="2"/>
  <c r="W67" i="2"/>
  <c r="W47" i="2"/>
  <c r="W17" i="2"/>
  <c r="U11" i="2"/>
  <c r="U12" i="2"/>
  <c r="U13" i="2"/>
  <c r="U14" i="2"/>
  <c r="U15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63" i="2"/>
  <c r="U64" i="2"/>
  <c r="U65" i="2"/>
  <c r="U66" i="2"/>
  <c r="U68" i="2"/>
  <c r="U69" i="2"/>
  <c r="U70" i="2"/>
  <c r="U10" i="2"/>
  <c r="P48" i="2"/>
  <c r="R48" i="2"/>
  <c r="P49" i="2"/>
  <c r="R49" i="2" s="1"/>
  <c r="P50" i="2"/>
  <c r="R50" i="2"/>
  <c r="P51" i="2"/>
  <c r="R51" i="2" s="1"/>
  <c r="P52" i="2"/>
  <c r="R52" i="2"/>
  <c r="P53" i="2"/>
  <c r="R53" i="2" s="1"/>
  <c r="P54" i="2"/>
  <c r="R54" i="2"/>
  <c r="P55" i="2"/>
  <c r="R55" i="2" s="1"/>
  <c r="P56" i="2"/>
  <c r="R56" i="2"/>
  <c r="P57" i="2"/>
  <c r="R57" i="2" s="1"/>
  <c r="P58" i="2"/>
  <c r="R58" i="2"/>
  <c r="P59" i="2"/>
  <c r="R59" i="2" s="1"/>
  <c r="P60" i="2"/>
  <c r="R60" i="2"/>
  <c r="P61" i="2"/>
  <c r="R61" i="2" s="1"/>
  <c r="P63" i="2"/>
  <c r="R63" i="2" s="1"/>
  <c r="P64" i="2"/>
  <c r="R64" i="2"/>
  <c r="P65" i="2"/>
  <c r="R65" i="2" s="1"/>
  <c r="P66" i="2"/>
  <c r="R66" i="2"/>
  <c r="P68" i="2"/>
  <c r="R68" i="2"/>
  <c r="P69" i="2"/>
  <c r="R69" i="2" s="1"/>
  <c r="P70" i="2"/>
  <c r="R70" i="2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W62" i="2" l="1"/>
  <c r="U25" i="2"/>
  <c r="I53" i="2"/>
  <c r="H52" i="2"/>
  <c r="I52" i="2" s="1"/>
  <c r="H51" i="2"/>
  <c r="I51" i="2" s="1"/>
  <c r="H50" i="2"/>
  <c r="I50" i="2" s="1"/>
  <c r="H49" i="2"/>
  <c r="I49" i="2" s="1"/>
  <c r="H48" i="2"/>
  <c r="I48" i="2" s="1"/>
  <c r="H25" i="2"/>
  <c r="F25" i="2"/>
  <c r="H19" i="2"/>
  <c r="I19" i="2" s="1"/>
  <c r="P19" i="2"/>
  <c r="R19" i="2" s="1"/>
  <c r="I46" i="1"/>
  <c r="H28" i="2"/>
  <c r="I28" i="2" s="1"/>
  <c r="P28" i="2"/>
  <c r="R28" i="2" s="1"/>
  <c r="B57" i="1"/>
  <c r="K49" i="1"/>
  <c r="J49" i="1"/>
  <c r="J37" i="1"/>
  <c r="M7" i="1"/>
  <c r="S7" i="1"/>
  <c r="S6" i="1"/>
  <c r="T6" i="1" s="1"/>
  <c r="Q24" i="1"/>
  <c r="S24" i="1" s="1"/>
  <c r="Q22" i="1"/>
  <c r="L7" i="1"/>
  <c r="N7" i="1" s="1"/>
  <c r="L6" i="1"/>
  <c r="I32" i="1"/>
  <c r="K32" i="1" s="1"/>
  <c r="K27" i="1"/>
  <c r="E6" i="1"/>
  <c r="L20" i="1"/>
  <c r="E7" i="1"/>
  <c r="I18" i="1"/>
  <c r="D47" i="1"/>
  <c r="D39" i="1"/>
  <c r="D30" i="1"/>
  <c r="C23" i="1"/>
  <c r="I47" i="2" l="1"/>
  <c r="I25" i="2"/>
  <c r="N6" i="1"/>
  <c r="N9" i="1" s="1"/>
  <c r="U6" i="1"/>
  <c r="G6" i="1"/>
  <c r="C12" i="1" s="1"/>
  <c r="F6" i="1"/>
  <c r="M6" i="1"/>
  <c r="T7" i="1"/>
  <c r="U7" i="1" s="1"/>
  <c r="F7" i="1"/>
  <c r="G7" i="1" s="1"/>
  <c r="U9" i="1" l="1"/>
  <c r="C13" i="1"/>
  <c r="C14" i="1" s="1"/>
  <c r="G9" i="1"/>
  <c r="H66" i="2" l="1"/>
  <c r="I66" i="2" s="1"/>
  <c r="H68" i="2"/>
  <c r="I68" i="2" s="1"/>
  <c r="H69" i="2"/>
  <c r="I69" i="2" s="1"/>
  <c r="H70" i="2"/>
  <c r="I70" i="2" s="1"/>
  <c r="H64" i="2"/>
  <c r="I64" i="2" s="1"/>
  <c r="H65" i="2"/>
  <c r="I65" i="2" s="1"/>
  <c r="H63" i="2"/>
  <c r="I63" i="2" s="1"/>
  <c r="I67" i="2" l="1"/>
  <c r="P11" i="2"/>
  <c r="R11" i="2" s="1"/>
  <c r="P12" i="2"/>
  <c r="R12" i="2" s="1"/>
  <c r="P13" i="2"/>
  <c r="R13" i="2" s="1"/>
  <c r="P14" i="2"/>
  <c r="R14" i="2" s="1"/>
  <c r="P15" i="2"/>
  <c r="R15" i="2" s="1"/>
  <c r="R74" i="2"/>
  <c r="P18" i="2"/>
  <c r="R18" i="2" s="1"/>
  <c r="P20" i="2"/>
  <c r="R20" i="2" s="1"/>
  <c r="P21" i="2"/>
  <c r="R21" i="2" s="1"/>
  <c r="P22" i="2"/>
  <c r="R22" i="2" s="1"/>
  <c r="P23" i="2"/>
  <c r="R23" i="2" s="1"/>
  <c r="P24" i="2"/>
  <c r="R24" i="2" s="1"/>
  <c r="P26" i="2"/>
  <c r="R26" i="2" s="1"/>
  <c r="P27" i="2"/>
  <c r="R27" i="2" s="1"/>
  <c r="P29" i="2"/>
  <c r="R29" i="2" s="1"/>
  <c r="P30" i="2"/>
  <c r="R30" i="2" s="1"/>
  <c r="P31" i="2"/>
  <c r="R31" i="2" s="1"/>
  <c r="P32" i="2"/>
  <c r="R32" i="2" s="1"/>
  <c r="P33" i="2"/>
  <c r="R33" i="2" s="1"/>
  <c r="P10" i="2"/>
  <c r="R10" i="2" s="1"/>
  <c r="H33" i="2"/>
  <c r="I33" i="2" s="1"/>
  <c r="H32" i="2"/>
  <c r="I32" i="2" s="1"/>
  <c r="H31" i="2"/>
  <c r="I31" i="2" s="1"/>
  <c r="H30" i="2"/>
  <c r="I30" i="2" s="1"/>
  <c r="H29" i="2"/>
  <c r="I29" i="2" s="1"/>
  <c r="H27" i="2"/>
  <c r="I27" i="2" s="1"/>
  <c r="H26" i="2"/>
  <c r="I26" i="2" s="1"/>
  <c r="H24" i="2"/>
  <c r="I24" i="2" s="1"/>
  <c r="H23" i="2"/>
  <c r="I23" i="2" s="1"/>
  <c r="H22" i="2"/>
  <c r="I22" i="2" s="1"/>
  <c r="H21" i="2"/>
  <c r="I21" i="2" s="1"/>
  <c r="H20" i="2"/>
  <c r="I20" i="2" s="1"/>
  <c r="H18" i="2"/>
  <c r="I18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I17" i="2" l="1"/>
  <c r="I9" i="2"/>
  <c r="W9" i="2" l="1"/>
  <c r="W74" i="2" s="1"/>
  <c r="I74" i="2"/>
  <c r="I5" i="2" l="1"/>
  <c r="R76" i="2"/>
</calcChain>
</file>

<file path=xl/sharedStrings.xml><?xml version="1.0" encoding="utf-8"?>
<sst xmlns="http://schemas.openxmlformats.org/spreadsheetml/2006/main" count="294" uniqueCount="190">
  <si>
    <t>PLANILHA ORÇAMENTÁRIA</t>
  </si>
  <si>
    <t>BDI:</t>
  </si>
  <si>
    <t>ITEM</t>
  </si>
  <si>
    <t>UNID.</t>
  </si>
  <si>
    <t>QUANT.</t>
  </si>
  <si>
    <t>Valor Unitário s/ BDI</t>
  </si>
  <si>
    <t>Valor Unitário c/ BDI</t>
  </si>
  <si>
    <t>VALOR TOTAL C/ BDI</t>
  </si>
  <si>
    <t/>
  </si>
  <si>
    <t>1.1</t>
  </si>
  <si>
    <t>M2</t>
  </si>
  <si>
    <t>1.2</t>
  </si>
  <si>
    <t>CHAPISCO APLICADO EM ALVENARIAS E ESTRUTURAS DE CONCRETO INTERNAS, COM COLHER DE PEDREIRO.  ARGAMASSA TRAÇO 1:3 COM PREPARO EM BETONEIRA 400L. AF_06/2014</t>
  </si>
  <si>
    <t>1.3</t>
  </si>
  <si>
    <t>1.4</t>
  </si>
  <si>
    <t>1.5</t>
  </si>
  <si>
    <t>2.1</t>
  </si>
  <si>
    <t>M3</t>
  </si>
  <si>
    <t>2.2</t>
  </si>
  <si>
    <t>2.3</t>
  </si>
  <si>
    <t>LASTRO DE CONCRETO MAGRO, APLICADO EM BLOCOS DE COROAMENTO OU SAPATAS. AF_08/2017</t>
  </si>
  <si>
    <t>2.4</t>
  </si>
  <si>
    <t>ESTACA BROCA DE CONCRETO, DIÂMETRO DE 20 CM, PROFUNDIDADE DE ATÉ 3 M, ESCAVAÇÃO MANUAL COM TRADO CONCHA, NÃO ARMADA. AF_03/2018</t>
  </si>
  <si>
    <t>M</t>
  </si>
  <si>
    <t>2.5</t>
  </si>
  <si>
    <t>2.6</t>
  </si>
  <si>
    <t>2.7</t>
  </si>
  <si>
    <t>2.8</t>
  </si>
  <si>
    <t>2.9</t>
  </si>
  <si>
    <t>KG</t>
  </si>
  <si>
    <t>2.10</t>
  </si>
  <si>
    <t>73882/001</t>
  </si>
  <si>
    <t>CALHA EM CONCRETO SIMPLES, EM MEIA CANA, DIAMETRO 200 MM</t>
  </si>
  <si>
    <t>2.11</t>
  </si>
  <si>
    <t>2.12</t>
  </si>
  <si>
    <t>ALV-EST-015</t>
  </si>
  <si>
    <t>2.13</t>
  </si>
  <si>
    <t>73844/002</t>
  </si>
  <si>
    <t>MUR-CON-005</t>
  </si>
  <si>
    <t>CONCERTINA CLIPADA MODELO ESPIRAL HELICOIDAL DUPLA D = 450 MM</t>
  </si>
  <si>
    <t>GRADIL TIPO SITELA PAINEL 1,50X2,15</t>
  </si>
  <si>
    <t>PLANTIO DE GRAMA ESMERALDA</t>
  </si>
  <si>
    <t>URB-PAS-006</t>
  </si>
  <si>
    <t>PASSEIOS DE CONCRETO E = 6 CM, FCK = 10 MPA, JUNTA SECA</t>
  </si>
  <si>
    <t>VALOR TOTAL DA OBRA</t>
  </si>
  <si>
    <t>SERVIÇOS PRELIMINARES</t>
  </si>
  <si>
    <t>74220/1</t>
  </si>
  <si>
    <t>Tapume de chapa de madeira compensada, espessura 6mm e h= 2,20m</t>
  </si>
  <si>
    <t>Entrada de energia elétrica aérea monofásica 50A com poste de concreto; inclusive cabeamento, caixa de proteção para medidor e aterramento</t>
  </si>
  <si>
    <t>ELE-PAD-005</t>
  </si>
  <si>
    <t>Ligação provisória de energia elétrica em canteiro de obra</t>
  </si>
  <si>
    <t>IIO-LIG-015</t>
  </si>
  <si>
    <t>Ligação provisória de água e esgoto</t>
  </si>
  <si>
    <t xml:space="preserve">73847/001 </t>
  </si>
  <si>
    <t>Aluguel de container</t>
  </si>
  <si>
    <t>mês</t>
  </si>
  <si>
    <t>1.6</t>
  </si>
  <si>
    <t>IIO-SAN-005</t>
  </si>
  <si>
    <t>Aluguel de Banheiro Químico 1,10x1,20x2,30m</t>
  </si>
  <si>
    <t>LIM-GER-005</t>
  </si>
  <si>
    <t>LIMPEZA GERAL DE OBRA</t>
  </si>
  <si>
    <t>OBRA: MURO DE FECHAMENTO DE UNIDADE BÁSICA DE SAÚDE - TIPO III - UBS BAIRRO JATOBA</t>
  </si>
  <si>
    <t>DESCRIÇÃO DOS SERVIÇOS</t>
  </si>
  <si>
    <t>Elaborado por:</t>
  </si>
  <si>
    <t>Eng. Ney Lopes Procópio-CREA 2019/D</t>
  </si>
  <si>
    <t>Matrícula: 7049</t>
  </si>
  <si>
    <t>Cod. SINAPI-SETOP-SCO-AGOSTO de 2018</t>
  </si>
  <si>
    <t xml:space="preserve">ESCAVAÇÃO MANUAL DE VALA PARA VIGA BALDRAME, COM PREVISÃO DE FÔRMA. </t>
  </si>
  <si>
    <t xml:space="preserve">PREPARO DE FUNDO DE VALA COM LARGURA MENOR QUE 1,5 M, EM LOCAL COM NÍVEL BAIXO DE INTERFERÊNCIA AF_06/2016 </t>
  </si>
  <si>
    <t>REATERRO MANUAL DE VALA APILOADO COM SOQUETE</t>
  </si>
  <si>
    <t>FABRICAÇÃO, MONTAGEM E DESMONTAGEM DE FÔRMA PARA SAPATA, EM CHAPA DE MADEIRA COMPENSADA RESINADA, E= 17mm, 4 UTILIZAÇÕES</t>
  </si>
  <si>
    <t>FABRICAÇÃO, MONTAGEM E DESMONTAGEM DE FÔRMA PARA VIGA BALDRAME, EM CHAPA DE MADEIRA COMPENSADA RESINADA, E= 17mm, 4 UTILIZAÇÕES</t>
  </si>
  <si>
    <t>FORNECIMENTO E LANÇAMENTO DE CONCRETO ESTRUTURAL USINADO FCK &gt;= 30 MPA, COM USO DE BOMBA, INCLUSIVE LANÇAMENTO E ADENSAMENTO</t>
  </si>
  <si>
    <t>3.1</t>
  </si>
  <si>
    <t>3.2</t>
  </si>
  <si>
    <t>3.3</t>
  </si>
  <si>
    <t>3.4</t>
  </si>
  <si>
    <t>3.5</t>
  </si>
  <si>
    <t>MURO DE ARRIMO</t>
  </si>
  <si>
    <t>MURO DE FECHAMENTO</t>
  </si>
  <si>
    <t>PAVIMENTAÇÃO E BLOCOS INTERTRAVADOS</t>
  </si>
  <si>
    <t>4.1</t>
  </si>
  <si>
    <t>MASSA ÚNICA, PARA RECEBIMENTO DE PINTURA, EM ARGAMASSA TRAÇO 1:2:8, PREPARO MECÂNICO COM BETONEIRA DE 400L, APLICADA MANUALMENTE ESPESSURA 20mm</t>
  </si>
  <si>
    <t>OBR-VIA-216</t>
  </si>
  <si>
    <t>PISO DE CONCRETO PRÉ-MOLDADO INTERTRAVADO E = 6 CM - FCK = 35 MPA, INCLUINDO FORNEC. E TRANSPORTE DE TODOS OS MATERIAIS, COLCHÃO DE ASSENTAMENTO E = 6 CM</t>
  </si>
  <si>
    <t>REGULARIZACAO E COMPACTACAO DE SUBLEITO ATE 20 CM DE ESPESSURA M2 AS 1,17</t>
  </si>
  <si>
    <t>4.2</t>
  </si>
  <si>
    <t>4.3</t>
  </si>
  <si>
    <t>4.4</t>
  </si>
  <si>
    <t>ASSENTAMENTO DE GUIA (MEIO-FIO) EM TRECHO RETO, CONFECCIONADA EM CONCRETO PRÉ FABRICADO, DIMENSÕES 100X15X13X30CM(COMPRIMENTO,BASE INFERIOR BASE SUPERIOR E ALTURA)</t>
  </si>
  <si>
    <t xml:space="preserve"> EXECUÇÃO DE SARJETA DE CONCRETO USINADO, MOLDADA IN LOCO EM TRECHO RETO, 30CM BASE X 10CM ALTURA. AF_06/2018</t>
  </si>
  <si>
    <t xml:space="preserve">M </t>
  </si>
  <si>
    <t>74010/001</t>
  </si>
  <si>
    <t>CARGA E DESCARGA MEC DE SOLO UTILIZANDO CAMINHAO BASCULANTE 6,0/16TON E PÁ CARR. SOBRE PNEUS 128 HP, CAPACIDADE DA CAÇAMBA DE 1,7 A 2,8 M3, PESO OPER. 11.632</t>
  </si>
  <si>
    <t>2.14</t>
  </si>
  <si>
    <t>M3XKM</t>
  </si>
  <si>
    <t>TRANSPORTE COM CAMINHÃO BASCULANTE DE 6 M3, EM VIA URBANA PAVIMENTADA,  DMT ATÉ 30KM. AF. 01_2018</t>
  </si>
  <si>
    <t>Av. Gil Teixeira 660 - Bairro Jatobá</t>
  </si>
  <si>
    <t>SERVIÇOS COMPLEMENTARES</t>
  </si>
  <si>
    <t>5.1</t>
  </si>
  <si>
    <t>5.2</t>
  </si>
  <si>
    <t>5.3</t>
  </si>
  <si>
    <t>MURO DE ARRIMO DE ALVENARIA DE BLOCOS</t>
  </si>
  <si>
    <t>VIGA BALDRAME</t>
  </si>
  <si>
    <t xml:space="preserve">PILAR </t>
  </si>
  <si>
    <t>m</t>
  </si>
  <si>
    <t>BROCAS</t>
  </si>
  <si>
    <t>5mm</t>
  </si>
  <si>
    <t>10mm</t>
  </si>
  <si>
    <t>AÇO</t>
  </si>
  <si>
    <t>RESUMO</t>
  </si>
  <si>
    <t>Kg/m</t>
  </si>
  <si>
    <t>Viga Baldrame</t>
  </si>
  <si>
    <t>comp</t>
  </si>
  <si>
    <t>larg</t>
  </si>
  <si>
    <t>altura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</si>
  <si>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</si>
  <si>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15x30</t>
  </si>
  <si>
    <t>Total</t>
  </si>
  <si>
    <t>Forma 2x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</si>
  <si>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</si>
  <si>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Concreto Fck 10,0 MPa</t>
  </si>
  <si>
    <t>Largura da vala</t>
  </si>
  <si>
    <t>Comprimento</t>
  </si>
  <si>
    <t>Espessura</t>
  </si>
  <si>
    <t>Concreto Fck 30,0 MPa</t>
  </si>
  <si>
    <t>Largura da viga</t>
  </si>
  <si>
    <t>Altura</t>
  </si>
  <si>
    <t>Escavação</t>
  </si>
  <si>
    <t>Estribo da VB</t>
  </si>
  <si>
    <t>12X27</t>
  </si>
  <si>
    <t>A CADA 15</t>
  </si>
  <si>
    <t>Unitário</t>
  </si>
  <si>
    <t>total</t>
  </si>
  <si>
    <t>Um pilar a cada 2,0m</t>
  </si>
  <si>
    <t>80 pilares</t>
  </si>
  <si>
    <t>15x20cm</t>
  </si>
  <si>
    <t>altura do aço =</t>
  </si>
  <si>
    <t>Estribo do Pilar</t>
  </si>
  <si>
    <t>a cada 15</t>
  </si>
  <si>
    <t>12x17cm</t>
  </si>
  <si>
    <t xml:space="preserve">Prof. </t>
  </si>
  <si>
    <t>Qtde</t>
  </si>
  <si>
    <t>N ferros</t>
  </si>
  <si>
    <t>Estribo</t>
  </si>
  <si>
    <t>Estribo da broca</t>
  </si>
  <si>
    <t>comp. 0,58 cm</t>
  </si>
  <si>
    <t>Kg</t>
  </si>
  <si>
    <t>UND</t>
  </si>
  <si>
    <t>PREPARO DE FUNDO DE VALA</t>
  </si>
  <si>
    <t>comp.</t>
  </si>
  <si>
    <t>largura</t>
  </si>
  <si>
    <t>m2</t>
  </si>
  <si>
    <t>Escavação do pátio para intertravado</t>
  </si>
  <si>
    <t>Área</t>
  </si>
  <si>
    <t>Alt</t>
  </si>
  <si>
    <t>Volume</t>
  </si>
  <si>
    <t>2.15</t>
  </si>
  <si>
    <t>MONTAGEM E DESMONTAGEM DE FÔRMA DE PILARES RETANGULARES E ESTRUTURAS EM CHAPA DE MADEIRA COMPENSADA RESINADA, 12 UTILIZAÇÕES</t>
  </si>
  <si>
    <t>PILAR FORMAS</t>
  </si>
  <si>
    <t>PILARES</t>
  </si>
  <si>
    <t>Largura</t>
  </si>
  <si>
    <t xml:space="preserve"> ESCAVACAO MECANICA CAMPO ABERTO EM SOLO EXCETO ROCHA ATE 2,00M PROFUND</t>
  </si>
  <si>
    <t>ARM-AÇO-020</t>
  </si>
  <si>
    <t>CORTE, DOBRA E ARMAÇÃO DE AÇO CA-50/60</t>
  </si>
  <si>
    <t>ALV-BLO-010</t>
  </si>
  <si>
    <t>ALVENARIA DE VEDAÇÃO COM BLOCO DE CONCRETO, CLASSE C, ESP. 15CM, PARA REVESTIMENTO, INCLUSIVE ARGAMASSA PARA ASSENTAMENTO</t>
  </si>
  <si>
    <t>ALVENARIA DE VEDAÇÃO COM BLOCO DE CONCRETO, CLASSE C, ESP. 20CM, PARA REVESTIMENTO, INCLUSIVE ARGAMASSA PARA ASSENTAMENTO</t>
  </si>
  <si>
    <t>COTAÇÃO</t>
  </si>
  <si>
    <t>GRADIL 2,5X2,2</t>
  </si>
  <si>
    <t>pç</t>
  </si>
  <si>
    <t>unit</t>
  </si>
  <si>
    <t>5.4</t>
  </si>
  <si>
    <t>6.1</t>
  </si>
  <si>
    <t>6.2</t>
  </si>
  <si>
    <t>6.3</t>
  </si>
  <si>
    <t>4.5</t>
  </si>
  <si>
    <t>4.6</t>
  </si>
  <si>
    <t>4.7</t>
  </si>
  <si>
    <t>4.8</t>
  </si>
  <si>
    <t>MONTANTE EM METALON DUPLO(TUBO) 60 x 40 x 1,25 mm, GALVANIZADO + PINTURA ELTROSTÁTICA A PÓ, COR PADRÃO METROS - COM BASE de 130 x 130 mm SOLDADO - PARA FIXAÇÃO SOBRE PISO ACABADO OU MURETA COM PARAFUSOS</t>
  </si>
  <si>
    <t>CHUMBADOR + ARRUELA</t>
  </si>
  <si>
    <t>FIXADOR DE SEGURANÇA(FIXADOR+PARAFUSO+ARRUELA)</t>
  </si>
  <si>
    <t>TAMPA DE MONTANTE 60X40 NA COR PRETA</t>
  </si>
  <si>
    <t>TRANSPORTE DE MATERIAL CAMPINAS  - POUSO ALEGRE</t>
  </si>
  <si>
    <t>PINI TCP O14</t>
  </si>
  <si>
    <t>COMPOSIÇÃO DE MÃO DE OBRA</t>
  </si>
  <si>
    <t>SUBTOTAL</t>
  </si>
  <si>
    <t>APLICAÇÃO MANUAL DE PINTURA COM TINTA LÁTEX ACRÍLICA EM PAREDES, DUAS DEMÃOS.</t>
  </si>
  <si>
    <t>01 CJ PORTÃO PIVOTANTE EM AÇO GALVANIZADO+PINTURA ELETROTÁTICA A PÓ, COR PADRÃO,MEDINDO 2,65 - COM BASE DE 130X130 SOLDADA PARA FIXAÇÃO SOBRE PISO ACABADO OU MURETA, COM PARAFUSOS -  3,5x3,00M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</si>
</sst>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00"/>
    <numFmt numFmtId="166" formatCode="_-* #,##0.000_-;\-* #,##0.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" fontId="0" fillId="0" borderId="0" xfId="0" applyNumberFormat="1" applyBorder="1"/>
    <xf numFmtId="4" fontId="0" fillId="0" borderId="1" xfId="0" applyNumberFormat="1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4" fontId="0" fillId="0" borderId="3" xfId="0" applyNumberFormat="1" applyBorder="1"/>
    <xf numFmtId="4" fontId="0" fillId="0" borderId="4" xfId="0" applyNumberFormat="1" applyBorder="1"/>
    <xf numFmtId="4" fontId="0" fillId="0" borderId="6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" fontId="0" fillId="2" borderId="12" xfId="0" applyNumberFormat="1" applyFill="1" applyBorder="1"/>
    <xf numFmtId="10" fontId="2" fillId="0" borderId="6" xfId="0" applyNumberFormat="1" applyFont="1" applyBorder="1" applyAlignment="1">
      <alignment horizontal="right"/>
    </xf>
    <xf numFmtId="0" fontId="0" fillId="0" borderId="7" xfId="0" applyFill="1" applyBorder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" fontId="2" fillId="0" borderId="0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4" fontId="0" fillId="0" borderId="0" xfId="0" applyNumberFormat="1" applyFill="1" applyAlignment="1">
      <alignment horizontal="right" vertical="center"/>
    </xf>
    <xf numFmtId="4" fontId="0" fillId="0" borderId="0" xfId="0" applyNumberFormat="1" applyFill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0" fillId="0" borderId="9" xfId="0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" fontId="0" fillId="2" borderId="1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0" fontId="0" fillId="0" borderId="0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4" fontId="0" fillId="0" borderId="0" xfId="0" applyNumberFormat="1"/>
    <xf numFmtId="4" fontId="0" fillId="0" borderId="1" xfId="0" applyNumberFormat="1" applyBorder="1"/>
    <xf numFmtId="0" fontId="0" fillId="0" borderId="20" xfId="0" applyBorder="1"/>
    <xf numFmtId="0" fontId="0" fillId="0" borderId="23" xfId="0" applyBorder="1"/>
    <xf numFmtId="0" fontId="0" fillId="0" borderId="0" xfId="0" applyBorder="1" applyAlignment="1">
      <alignment horizontal="center"/>
    </xf>
    <xf numFmtId="0" fontId="0" fillId="0" borderId="1" xfId="0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2" fillId="0" borderId="0" xfId="0" applyFont="1" applyFill="1" applyBorder="1" applyAlignment="1"/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ill="1" applyBorder="1" applyAlignment="1"/>
    <xf numFmtId="4" fontId="0" fillId="0" borderId="0" xfId="0" applyNumberFormat="1" applyFill="1" applyBorder="1" applyAlignment="1">
      <alignment horizontal="left"/>
    </xf>
    <xf numFmtId="2" fontId="0" fillId="0" borderId="0" xfId="0" applyNumberFormat="1" applyFill="1" applyBorder="1" applyAlignment="1"/>
    <xf numFmtId="0" fontId="0" fillId="0" borderId="16" xfId="0" applyFill="1" applyBorder="1" applyAlignment="1"/>
    <xf numFmtId="0" fontId="0" fillId="0" borderId="19" xfId="0" applyFill="1" applyBorder="1" applyAlignment="1"/>
    <xf numFmtId="0" fontId="0" fillId="0" borderId="17" xfId="0" applyFill="1" applyBorder="1" applyAlignment="1"/>
    <xf numFmtId="0" fontId="0" fillId="0" borderId="20" xfId="0" applyFill="1" applyBorder="1" applyAlignment="1"/>
    <xf numFmtId="0" fontId="0" fillId="0" borderId="21" xfId="0" applyFill="1" applyBorder="1" applyAlignment="1"/>
    <xf numFmtId="0" fontId="0" fillId="0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3" xfId="0" applyFill="1" applyBorder="1" applyAlignment="1"/>
    <xf numFmtId="0" fontId="0" fillId="0" borderId="21" xfId="0" applyFill="1" applyBorder="1" applyAlignment="1">
      <alignment horizontal="center" vertical="center"/>
    </xf>
    <xf numFmtId="4" fontId="0" fillId="0" borderId="21" xfId="0" applyNumberFormat="1" applyFill="1" applyBorder="1" applyAlignment="1"/>
    <xf numFmtId="0" fontId="0" fillId="0" borderId="22" xfId="0" applyFill="1" applyBorder="1" applyAlignment="1"/>
    <xf numFmtId="4" fontId="0" fillId="0" borderId="23" xfId="0" applyNumberFormat="1" applyFill="1" applyBorder="1" applyAlignment="1"/>
    <xf numFmtId="4" fontId="0" fillId="0" borderId="23" xfId="0" applyNumberFormat="1" applyFill="1" applyBorder="1" applyAlignment="1">
      <alignment horizontal="center"/>
    </xf>
    <xf numFmtId="4" fontId="0" fillId="0" borderId="24" xfId="0" applyNumberFormat="1" applyFill="1" applyBorder="1" applyAlignment="1"/>
    <xf numFmtId="4" fontId="0" fillId="0" borderId="24" xfId="0" applyNumberFormat="1" applyFill="1" applyBorder="1" applyAlignment="1">
      <alignment horizontal="center"/>
    </xf>
    <xf numFmtId="0" fontId="0" fillId="0" borderId="20" xfId="0" applyFill="1" applyBorder="1" applyAlignment="1">
      <alignment horizontal="left"/>
    </xf>
    <xf numFmtId="2" fontId="0" fillId="0" borderId="23" xfId="0" applyNumberFormat="1" applyFill="1" applyBorder="1" applyAlignment="1"/>
    <xf numFmtId="4" fontId="2" fillId="3" borderId="15" xfId="0" applyNumberFormat="1" applyFont="1" applyFill="1" applyBorder="1" applyAlignment="1"/>
    <xf numFmtId="0" fontId="2" fillId="3" borderId="15" xfId="0" applyFont="1" applyFill="1" applyBorder="1" applyAlignment="1"/>
    <xf numFmtId="4" fontId="0" fillId="0" borderId="23" xfId="0" applyNumberFormat="1" applyBorder="1" applyAlignment="1">
      <alignment horizontal="center"/>
    </xf>
    <xf numFmtId="9" fontId="0" fillId="0" borderId="0" xfId="0" applyNumberFormat="1" applyBorder="1"/>
    <xf numFmtId="0" fontId="2" fillId="0" borderId="0" xfId="0" applyFont="1" applyBorder="1"/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/>
    <xf numFmtId="4" fontId="0" fillId="0" borderId="0" xfId="0" applyNumberFormat="1" applyBorder="1" applyAlignment="1">
      <alignment horizontal="right"/>
    </xf>
    <xf numFmtId="166" fontId="0" fillId="0" borderId="23" xfId="1" applyNumberFormat="1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right"/>
    </xf>
    <xf numFmtId="43" fontId="0" fillId="0" borderId="0" xfId="1" applyNumberFormat="1" applyFont="1" applyBorder="1" applyAlignment="1">
      <alignment horizontal="right"/>
    </xf>
    <xf numFmtId="43" fontId="2" fillId="0" borderId="0" xfId="0" applyNumberFormat="1" applyFont="1" applyBorder="1"/>
    <xf numFmtId="0" fontId="2" fillId="0" borderId="21" xfId="0" applyFont="1" applyBorder="1" applyAlignment="1">
      <alignment horizontal="center"/>
    </xf>
    <xf numFmtId="4" fontId="2" fillId="0" borderId="21" xfId="0" applyNumberFormat="1" applyFont="1" applyFill="1" applyBorder="1" applyAlignment="1">
      <alignment horizontal="right"/>
    </xf>
    <xf numFmtId="0" fontId="0" fillId="0" borderId="21" xfId="0" applyFill="1" applyBorder="1"/>
    <xf numFmtId="0" fontId="2" fillId="0" borderId="20" xfId="0" applyFont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/>
    <xf numFmtId="0" fontId="2" fillId="0" borderId="21" xfId="0" applyFont="1" applyFill="1" applyBorder="1"/>
    <xf numFmtId="4" fontId="2" fillId="0" borderId="21" xfId="0" applyNumberFormat="1" applyFont="1" applyFill="1" applyBorder="1"/>
    <xf numFmtId="4" fontId="2" fillId="0" borderId="0" xfId="0" applyNumberFormat="1" applyFont="1" applyBorder="1"/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4" fontId="2" fillId="0" borderId="0" xfId="0" applyNumberFormat="1" applyFont="1" applyFill="1" applyBorder="1" applyAlignment="1"/>
    <xf numFmtId="43" fontId="0" fillId="0" borderId="0" xfId="1" applyNumberFormat="1" applyFont="1" applyBorder="1" applyAlignment="1"/>
    <xf numFmtId="4" fontId="0" fillId="0" borderId="0" xfId="0" applyNumberFormat="1" applyFill="1" applyAlignment="1">
      <alignment horizontal="left" vertical="top" wrapText="1"/>
    </xf>
    <xf numFmtId="43" fontId="0" fillId="0" borderId="0" xfId="1" applyNumberFormat="1" applyFont="1" applyFill="1" applyBorder="1" applyAlignment="1"/>
    <xf numFmtId="43" fontId="0" fillId="0" borderId="0" xfId="0" applyNumberFormat="1" applyFill="1" applyBorder="1" applyAlignment="1"/>
    <xf numFmtId="4" fontId="0" fillId="0" borderId="1" xfId="0" applyNumberFormat="1" applyFill="1" applyBorder="1" applyAlignment="1">
      <alignment horizontal="right"/>
    </xf>
    <xf numFmtId="4" fontId="0" fillId="0" borderId="1" xfId="0" applyNumberFormat="1" applyFill="1" applyBorder="1"/>
    <xf numFmtId="4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horizontal="left" vertical="top"/>
    </xf>
    <xf numFmtId="4" fontId="0" fillId="0" borderId="0" xfId="0" applyNumberFormat="1" applyFill="1" applyAlignment="1">
      <alignment horizontal="left" vertical="top"/>
    </xf>
    <xf numFmtId="4" fontId="2" fillId="0" borderId="6" xfId="0" applyNumberFormat="1" applyFont="1" applyFill="1" applyBorder="1"/>
    <xf numFmtId="0" fontId="2" fillId="0" borderId="0" xfId="0" applyFont="1" applyFill="1" applyBorder="1" applyAlignment="1">
      <alignment vertical="center"/>
    </xf>
    <xf numFmtId="4" fontId="0" fillId="0" borderId="0" xfId="0" applyNumberFormat="1" applyFill="1" applyBorder="1" applyAlignment="1">
      <alignment vertical="center" wrapText="1"/>
    </xf>
    <xf numFmtId="4" fontId="0" fillId="0" borderId="6" xfId="0" applyNumberForma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Fill="1" applyBorder="1" applyAlignment="1">
      <alignment horizontal="right"/>
    </xf>
    <xf numFmtId="0" fontId="0" fillId="0" borderId="13" xfId="0" applyFill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3" xfId="0" applyBorder="1"/>
    <xf numFmtId="4" fontId="0" fillId="0" borderId="0" xfId="0" applyNumberFormat="1"/>
    <xf numFmtId="4" fontId="0" fillId="0" borderId="1" xfId="0" applyNumberFormat="1" applyBorder="1"/>
    <xf numFmtId="0" fontId="0" fillId="0" borderId="11" xfId="0" applyBorder="1"/>
    <xf numFmtId="0" fontId="0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5" fillId="4" borderId="1" xfId="2" applyFont="1" applyFill="1" applyBorder="1" applyAlignment="1">
      <alignment vertic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top" wrapText="1"/>
    </xf>
    <xf numFmtId="2" fontId="6" fillId="4" borderId="1" xfId="2" applyNumberFormat="1" applyFont="1" applyFill="1" applyBorder="1" applyAlignment="1">
      <alignment horizontal="right" vertical="center" wrapText="1"/>
    </xf>
    <xf numFmtId="2" fontId="6" fillId="4" borderId="1" xfId="2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/>
    <xf numFmtId="4" fontId="7" fillId="2" borderId="1" xfId="0" applyNumberFormat="1" applyFont="1" applyFill="1" applyBorder="1"/>
    <xf numFmtId="4" fontId="2" fillId="2" borderId="12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Alignment="1">
      <alignment vertical="top" wrapText="1"/>
    </xf>
    <xf numFmtId="4" fontId="0" fillId="0" borderId="0" xfId="0" applyNumberFormat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4" fontId="0" fillId="0" borderId="11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2" xfId="0" applyFill="1" applyBorder="1"/>
    <xf numFmtId="0" fontId="0" fillId="2" borderId="1" xfId="0" applyFill="1" applyBorder="1"/>
    <xf numFmtId="4" fontId="0" fillId="0" borderId="0" xfId="0" applyNumberFormat="1" applyAlignment="1">
      <alignment vertical="center"/>
    </xf>
    <xf numFmtId="4" fontId="5" fillId="4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2" fillId="3" borderId="18" xfId="0" applyNumberFormat="1" applyFont="1" applyFill="1" applyBorder="1" applyAlignment="1">
      <alignment horizontal="center"/>
    </xf>
    <xf numFmtId="4" fontId="2" fillId="3" borderId="15" xfId="0" applyNumberFormat="1" applyFont="1" applyFill="1" applyBorder="1" applyAlignment="1">
      <alignment horizontal="center"/>
    </xf>
    <xf numFmtId="4" fontId="0" fillId="3" borderId="14" xfId="0" applyNumberFormat="1" applyFill="1" applyBorder="1" applyAlignment="1">
      <alignment horizontal="center"/>
    </xf>
    <xf numFmtId="4" fontId="0" fillId="3" borderId="18" xfId="0" applyNumberFormat="1" applyFill="1" applyBorder="1" applyAlignment="1">
      <alignment horizontal="center"/>
    </xf>
    <xf numFmtId="4" fontId="0" fillId="3" borderId="15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39</xdr:row>
      <xdr:rowOff>114300</xdr:rowOff>
    </xdr:from>
    <xdr:to>
      <xdr:col>2</xdr:col>
      <xdr:colOff>568325</xdr:colOff>
      <xdr:row>43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763125"/>
          <a:ext cx="720725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276225</xdr:colOff>
      <xdr:row>1</xdr:row>
      <xdr:rowOff>76200</xdr:rowOff>
    </xdr:from>
    <xdr:to>
      <xdr:col>2</xdr:col>
      <xdr:colOff>549275</xdr:colOff>
      <xdr:row>5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720725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7"/>
  <sheetViews>
    <sheetView topLeftCell="A7" zoomScaleNormal="100" workbookViewId="0">
      <selection activeCell="E29" sqref="E29"/>
    </sheetView>
  </sheetViews>
  <sheetFormatPr defaultColWidth="9.28515625" defaultRowHeight="15" customHeight="1" x14ac:dyDescent="0.25"/>
  <cols>
    <col min="1" max="2" width="9.28515625" style="65"/>
    <col min="3" max="3" width="10.5703125" style="65" bestFit="1" customWidth="1"/>
    <col min="4" max="11" width="9.28515625" style="65"/>
    <col min="12" max="14" width="10.28515625" style="65" customWidth="1"/>
    <col min="15" max="19" width="9.28515625" style="65"/>
    <col min="20" max="20" width="9.140625" style="65" customWidth="1"/>
    <col min="21" max="16384" width="9.28515625" style="65"/>
  </cols>
  <sheetData>
    <row r="1" spans="2:25" ht="15" customHeight="1" thickBot="1" x14ac:dyDescent="0.3"/>
    <row r="2" spans="2:25" ht="15" customHeight="1" x14ac:dyDescent="0.25"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8"/>
    </row>
    <row r="3" spans="2:25" ht="15" customHeight="1" thickBot="1" x14ac:dyDescent="0.3">
      <c r="B3" s="89"/>
      <c r="U3" s="90"/>
    </row>
    <row r="4" spans="2:25" ht="15" customHeight="1" thickBot="1" x14ac:dyDescent="0.3">
      <c r="B4" s="197" t="s">
        <v>103</v>
      </c>
      <c r="C4" s="198"/>
      <c r="D4" s="198"/>
      <c r="E4" s="198"/>
      <c r="F4" s="198"/>
      <c r="G4" s="199"/>
      <c r="I4" s="197" t="s">
        <v>104</v>
      </c>
      <c r="J4" s="198"/>
      <c r="K4" s="198"/>
      <c r="L4" s="198"/>
      <c r="M4" s="198"/>
      <c r="N4" s="199"/>
      <c r="O4" s="69"/>
      <c r="P4" s="197" t="s">
        <v>106</v>
      </c>
      <c r="Q4" s="198"/>
      <c r="R4" s="198"/>
      <c r="S4" s="198"/>
      <c r="T4" s="198"/>
      <c r="U4" s="199"/>
    </row>
    <row r="5" spans="2:25" ht="15" customHeight="1" x14ac:dyDescent="0.25">
      <c r="B5" s="91" t="s">
        <v>109</v>
      </c>
      <c r="C5" s="59" t="s">
        <v>111</v>
      </c>
      <c r="D5" s="75" t="s">
        <v>23</v>
      </c>
      <c r="E5" s="75" t="s">
        <v>29</v>
      </c>
      <c r="F5" s="115">
        <v>0.1</v>
      </c>
      <c r="G5" s="75" t="s">
        <v>118</v>
      </c>
      <c r="I5" s="59" t="s">
        <v>109</v>
      </c>
      <c r="J5" s="59" t="s">
        <v>111</v>
      </c>
      <c r="K5" s="75" t="s">
        <v>23</v>
      </c>
      <c r="L5" s="75" t="s">
        <v>29</v>
      </c>
      <c r="M5" s="115">
        <v>0.1</v>
      </c>
      <c r="N5" s="75" t="s">
        <v>118</v>
      </c>
      <c r="O5" s="69"/>
      <c r="P5" s="59" t="s">
        <v>109</v>
      </c>
      <c r="Q5" s="59" t="s">
        <v>111</v>
      </c>
      <c r="R5" s="75" t="s">
        <v>23</v>
      </c>
      <c r="S5" s="75" t="s">
        <v>29</v>
      </c>
      <c r="T5" s="115">
        <v>0.1</v>
      </c>
      <c r="U5" s="119" t="s">
        <v>118</v>
      </c>
      <c r="V5" s="79"/>
      <c r="W5" s="79"/>
      <c r="X5" s="79"/>
      <c r="Y5" s="58"/>
    </row>
    <row r="6" spans="2:25" ht="15" customHeight="1" x14ac:dyDescent="0.25">
      <c r="B6" s="92" t="s">
        <v>107</v>
      </c>
      <c r="C6" s="81">
        <v>0.154</v>
      </c>
      <c r="D6" s="83">
        <v>832.26</v>
      </c>
      <c r="E6" s="113">
        <f>C6*D6</f>
        <v>128.16803999999999</v>
      </c>
      <c r="F6" s="113">
        <f>E6*F5</f>
        <v>12.816803999999999</v>
      </c>
      <c r="G6" s="36">
        <f>SUM(E6:F6)</f>
        <v>140.98484399999998</v>
      </c>
      <c r="I6" s="75" t="s">
        <v>107</v>
      </c>
      <c r="J6" s="81">
        <v>0.154</v>
      </c>
      <c r="K6" s="82">
        <v>928</v>
      </c>
      <c r="L6" s="113">
        <f>K6*J6</f>
        <v>142.91200000000001</v>
      </c>
      <c r="M6" s="113">
        <f>L6*M5</f>
        <v>14.291200000000002</v>
      </c>
      <c r="N6" s="36">
        <f>SUM(L6:M6)</f>
        <v>157.20320000000001</v>
      </c>
      <c r="O6" s="69"/>
      <c r="P6" s="75" t="s">
        <v>107</v>
      </c>
      <c r="Q6" s="81">
        <v>0.154</v>
      </c>
      <c r="R6" s="113">
        <v>928</v>
      </c>
      <c r="S6" s="113">
        <f>Q6*R6</f>
        <v>142.91200000000001</v>
      </c>
      <c r="T6" s="116">
        <f>S6*T5</f>
        <v>14.291200000000002</v>
      </c>
      <c r="U6" s="120">
        <f>SUM(S6:T6)</f>
        <v>157.20320000000001</v>
      </c>
      <c r="V6" s="59"/>
      <c r="W6" s="59"/>
      <c r="X6" s="59"/>
      <c r="Y6" s="59"/>
    </row>
    <row r="7" spans="2:25" ht="15" customHeight="1" x14ac:dyDescent="0.25">
      <c r="B7" s="92" t="s">
        <v>108</v>
      </c>
      <c r="C7" s="81">
        <v>0.61699999999999999</v>
      </c>
      <c r="D7" s="83">
        <v>640</v>
      </c>
      <c r="E7" s="113">
        <f>C7*D7</f>
        <v>394.88</v>
      </c>
      <c r="F7" s="113">
        <f>E7*F5</f>
        <v>39.488</v>
      </c>
      <c r="G7" s="36">
        <f>SUM(E7:F7)</f>
        <v>434.36799999999999</v>
      </c>
      <c r="I7" s="75" t="s">
        <v>108</v>
      </c>
      <c r="J7" s="81">
        <v>0.61699999999999999</v>
      </c>
      <c r="K7" s="82">
        <v>960</v>
      </c>
      <c r="L7" s="113">
        <f>K7*J7</f>
        <v>592.31999999999994</v>
      </c>
      <c r="M7" s="113">
        <f>L7*M5</f>
        <v>59.231999999999999</v>
      </c>
      <c r="N7" s="36">
        <f>SUM(L7:M7)</f>
        <v>651.55199999999991</v>
      </c>
      <c r="O7" s="69"/>
      <c r="P7" s="75" t="s">
        <v>108</v>
      </c>
      <c r="Q7" s="81">
        <v>0.61699999999999999</v>
      </c>
      <c r="R7" s="83">
        <v>960</v>
      </c>
      <c r="S7" s="113">
        <f>Q7*R7</f>
        <v>592.31999999999994</v>
      </c>
      <c r="T7" s="116">
        <f>S7*T5</f>
        <v>59.231999999999999</v>
      </c>
      <c r="U7" s="120">
        <f>SUM(S7:T7)</f>
        <v>651.55199999999991</v>
      </c>
      <c r="V7" s="58"/>
      <c r="W7" s="58"/>
      <c r="X7" s="58"/>
      <c r="Y7" s="58"/>
    </row>
    <row r="8" spans="2:25" ht="15" customHeight="1" x14ac:dyDescent="0.25">
      <c r="B8" s="73"/>
      <c r="C8" s="69"/>
      <c r="D8" s="109"/>
      <c r="E8" s="75"/>
      <c r="F8" s="75"/>
      <c r="G8" s="75"/>
      <c r="I8" s="69"/>
      <c r="J8" s="69"/>
      <c r="K8" s="109"/>
      <c r="L8" s="75"/>
      <c r="M8" s="75"/>
      <c r="N8" s="75"/>
      <c r="O8" s="69"/>
      <c r="P8" s="69"/>
      <c r="Q8" s="69"/>
      <c r="R8" s="56"/>
      <c r="S8" s="69"/>
      <c r="T8" s="77"/>
      <c r="U8" s="125"/>
      <c r="V8" s="58"/>
      <c r="W8" s="58"/>
      <c r="X8" s="58"/>
      <c r="Y8" s="58"/>
    </row>
    <row r="9" spans="2:25" ht="15" customHeight="1" thickBot="1" x14ac:dyDescent="0.3">
      <c r="B9" s="73"/>
      <c r="C9" s="69"/>
      <c r="E9" s="16"/>
      <c r="F9" s="57" t="s">
        <v>133</v>
      </c>
      <c r="G9" s="127">
        <f>SUM(G6:G8)</f>
        <v>575.352844</v>
      </c>
      <c r="H9" s="79"/>
      <c r="I9" s="110"/>
      <c r="J9" s="110"/>
      <c r="K9" s="79"/>
      <c r="L9" s="128"/>
      <c r="M9" s="57" t="s">
        <v>133</v>
      </c>
      <c r="N9" s="129">
        <f>SUM(N6:N8)</f>
        <v>808.75519999999995</v>
      </c>
      <c r="O9" s="110"/>
      <c r="P9" s="110"/>
      <c r="Q9" s="110"/>
      <c r="R9" s="57"/>
      <c r="S9" s="127"/>
      <c r="T9" s="57" t="s">
        <v>133</v>
      </c>
      <c r="U9" s="126">
        <f>SUM(U6:U8)</f>
        <v>808.75519999999995</v>
      </c>
      <c r="V9" s="58"/>
      <c r="W9" s="78"/>
      <c r="X9" s="58"/>
      <c r="Y9" s="58"/>
    </row>
    <row r="10" spans="2:25" ht="15" customHeight="1" thickBot="1" x14ac:dyDescent="0.3">
      <c r="B10" s="197" t="s">
        <v>110</v>
      </c>
      <c r="C10" s="199"/>
      <c r="D10" s="79"/>
      <c r="E10" s="79"/>
      <c r="F10" s="61"/>
      <c r="G10" s="61"/>
      <c r="I10" s="69"/>
      <c r="J10" s="69"/>
      <c r="K10" s="69"/>
      <c r="L10" s="69"/>
      <c r="M10" s="69"/>
      <c r="N10" s="69"/>
      <c r="O10" s="69"/>
      <c r="P10" s="69"/>
      <c r="Q10" s="70"/>
      <c r="R10" s="69"/>
      <c r="S10" s="69"/>
      <c r="T10" s="77"/>
      <c r="U10" s="121"/>
      <c r="V10" s="58"/>
      <c r="W10" s="78"/>
      <c r="X10" s="58"/>
      <c r="Y10" s="58"/>
    </row>
    <row r="11" spans="2:25" ht="15" customHeight="1" x14ac:dyDescent="0.25">
      <c r="B11" s="91" t="s">
        <v>109</v>
      </c>
      <c r="C11" s="59" t="s">
        <v>147</v>
      </c>
      <c r="D11" s="75"/>
      <c r="E11" s="75"/>
      <c r="F11" s="75"/>
      <c r="G11" s="75"/>
      <c r="I11" s="69"/>
      <c r="J11" s="75"/>
      <c r="K11" s="75"/>
      <c r="L11" s="69"/>
      <c r="M11" s="69"/>
      <c r="N11" s="69"/>
      <c r="O11" s="69"/>
      <c r="P11" s="69"/>
      <c r="Q11" s="69"/>
      <c r="R11" s="69"/>
      <c r="S11" s="69"/>
      <c r="T11" s="58"/>
      <c r="U11" s="121"/>
      <c r="V11" s="58"/>
      <c r="W11" s="78"/>
      <c r="X11" s="58"/>
      <c r="Y11" s="58"/>
    </row>
    <row r="12" spans="2:25" ht="15" customHeight="1" x14ac:dyDescent="0.25">
      <c r="B12" s="92" t="s">
        <v>107</v>
      </c>
      <c r="C12" s="117">
        <f>G6+N6+U6</f>
        <v>455.39124400000003</v>
      </c>
      <c r="D12" s="82"/>
      <c r="E12" s="113"/>
      <c r="F12" s="113"/>
      <c r="G12" s="113"/>
      <c r="I12" s="69"/>
      <c r="J12" s="75"/>
      <c r="K12" s="75"/>
      <c r="L12" s="69"/>
      <c r="M12" s="69"/>
      <c r="N12" s="69"/>
      <c r="O12" s="69"/>
      <c r="P12" s="69"/>
      <c r="Q12" s="69"/>
      <c r="R12" s="69"/>
      <c r="S12" s="69"/>
      <c r="T12" s="59"/>
      <c r="U12" s="121"/>
      <c r="V12" s="58"/>
      <c r="W12" s="58"/>
      <c r="X12" s="58"/>
      <c r="Y12" s="58"/>
    </row>
    <row r="13" spans="2:25" ht="15" customHeight="1" x14ac:dyDescent="0.25">
      <c r="B13" s="92" t="s">
        <v>108</v>
      </c>
      <c r="C13" s="131">
        <f>G7+N7+U7</f>
        <v>1737.4719999999998</v>
      </c>
      <c r="D13" s="82"/>
      <c r="E13" s="113"/>
      <c r="F13" s="113"/>
      <c r="G13" s="113"/>
      <c r="I13" s="69"/>
      <c r="J13" s="75"/>
      <c r="K13" s="80"/>
      <c r="L13" s="69"/>
      <c r="M13" s="69"/>
      <c r="N13" s="69"/>
      <c r="O13" s="69"/>
      <c r="P13" s="69"/>
      <c r="Q13" s="69"/>
      <c r="R13" s="69"/>
      <c r="S13" s="69"/>
      <c r="T13" s="59"/>
      <c r="U13" s="121"/>
      <c r="V13" s="58"/>
      <c r="W13" s="58"/>
      <c r="X13" s="58"/>
      <c r="Y13" s="58"/>
    </row>
    <row r="14" spans="2:25" ht="15" customHeight="1" x14ac:dyDescent="0.25">
      <c r="B14" s="122" t="s">
        <v>118</v>
      </c>
      <c r="C14" s="118">
        <f>SUM(C12:C13)</f>
        <v>2192.8632439999997</v>
      </c>
      <c r="D14" s="82"/>
      <c r="E14" s="82"/>
      <c r="F14" s="82"/>
      <c r="G14" s="82"/>
      <c r="I14" s="69"/>
      <c r="J14" s="75"/>
      <c r="K14" s="80"/>
      <c r="L14" s="69"/>
      <c r="M14" s="69"/>
      <c r="N14" s="69"/>
      <c r="O14" s="69"/>
      <c r="P14" s="69"/>
      <c r="Q14" s="69"/>
      <c r="R14" s="69"/>
      <c r="S14" s="69"/>
      <c r="T14" s="59"/>
      <c r="U14" s="121"/>
      <c r="V14" s="58"/>
      <c r="W14" s="58"/>
      <c r="X14" s="58"/>
      <c r="Y14" s="58"/>
    </row>
    <row r="15" spans="2:25" ht="15" customHeight="1" thickBot="1" x14ac:dyDescent="0.3">
      <c r="B15" s="93"/>
      <c r="C15" s="114"/>
      <c r="D15" s="108"/>
      <c r="E15" s="108"/>
      <c r="F15" s="108"/>
      <c r="G15" s="108"/>
      <c r="H15" s="96"/>
      <c r="I15" s="74"/>
      <c r="J15" s="94"/>
      <c r="K15" s="95"/>
      <c r="L15" s="74"/>
      <c r="M15" s="74"/>
      <c r="N15" s="74"/>
      <c r="O15" s="74"/>
      <c r="P15" s="74"/>
      <c r="Q15" s="74"/>
      <c r="R15" s="74"/>
      <c r="S15" s="74"/>
      <c r="T15" s="123"/>
      <c r="U15" s="124"/>
      <c r="V15" s="58"/>
      <c r="W15" s="58"/>
      <c r="X15" s="58"/>
      <c r="Y15" s="58"/>
    </row>
    <row r="16" spans="2:25" ht="15" customHeight="1" thickBot="1" x14ac:dyDescent="0.3">
      <c r="K16" s="58"/>
      <c r="L16" s="59"/>
      <c r="M16" s="59"/>
      <c r="N16" s="59"/>
      <c r="O16" s="59"/>
      <c r="P16" s="59"/>
      <c r="Q16" s="58"/>
      <c r="R16" s="58"/>
      <c r="S16" s="59"/>
      <c r="T16" s="77"/>
      <c r="U16" s="58"/>
      <c r="V16" s="58"/>
      <c r="W16" s="58"/>
      <c r="X16" s="58"/>
      <c r="Y16" s="58"/>
    </row>
    <row r="17" spans="2:21" ht="15" customHeight="1" thickBot="1" x14ac:dyDescent="0.3">
      <c r="I17" s="197" t="s">
        <v>103</v>
      </c>
      <c r="J17" s="198"/>
      <c r="K17" s="198"/>
      <c r="L17" s="199"/>
      <c r="M17" s="61"/>
      <c r="N17" s="61"/>
      <c r="P17" s="197" t="s">
        <v>106</v>
      </c>
      <c r="Q17" s="198"/>
      <c r="R17" s="198"/>
      <c r="S17" s="199"/>
    </row>
    <row r="18" spans="2:21" ht="15" customHeight="1" thickBot="1" x14ac:dyDescent="0.3">
      <c r="B18" s="197" t="s">
        <v>112</v>
      </c>
      <c r="C18" s="198"/>
      <c r="D18" s="198" t="s">
        <v>117</v>
      </c>
      <c r="E18" s="199"/>
      <c r="F18" s="61"/>
      <c r="G18" s="61"/>
      <c r="I18" s="89">
        <f>160*4</f>
        <v>640</v>
      </c>
      <c r="L18" s="90"/>
    </row>
    <row r="19" spans="2:21" ht="15" customHeight="1" x14ac:dyDescent="0.25">
      <c r="B19" s="89" t="s">
        <v>128</v>
      </c>
      <c r="E19" s="90"/>
      <c r="I19" s="211" t="s">
        <v>129</v>
      </c>
      <c r="J19" s="201"/>
      <c r="K19" s="60" t="s">
        <v>130</v>
      </c>
      <c r="L19" s="90" t="s">
        <v>131</v>
      </c>
      <c r="P19" s="59" t="s">
        <v>141</v>
      </c>
      <c r="Q19" s="83">
        <v>3</v>
      </c>
      <c r="R19" s="83"/>
      <c r="S19" s="83"/>
    </row>
    <row r="20" spans="2:21" ht="15" customHeight="1" thickBot="1" x14ac:dyDescent="0.3">
      <c r="B20" s="89"/>
      <c r="C20" s="60" t="s">
        <v>113</v>
      </c>
      <c r="D20" s="60" t="s">
        <v>114</v>
      </c>
      <c r="E20" s="97" t="s">
        <v>115</v>
      </c>
      <c r="F20" s="60"/>
      <c r="G20" s="60"/>
      <c r="I20" s="111" t="s">
        <v>132</v>
      </c>
      <c r="J20" s="96">
        <v>0.78</v>
      </c>
      <c r="K20" s="96">
        <v>1067</v>
      </c>
      <c r="L20" s="112">
        <f>J20*K20</f>
        <v>832.26</v>
      </c>
      <c r="P20" s="59" t="s">
        <v>142</v>
      </c>
      <c r="Q20" s="83">
        <v>80</v>
      </c>
      <c r="R20" s="83"/>
      <c r="S20" s="83"/>
    </row>
    <row r="21" spans="2:21" ht="15" customHeight="1" thickBot="1" x14ac:dyDescent="0.3">
      <c r="B21" s="89"/>
      <c r="C21" s="83">
        <v>160</v>
      </c>
      <c r="D21" s="83">
        <v>0.6</v>
      </c>
      <c r="E21" s="98">
        <v>0.4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 t="s">
        <v>143</v>
      </c>
      <c r="Q21" s="83">
        <v>4</v>
      </c>
      <c r="R21" s="83"/>
      <c r="S21" s="83"/>
      <c r="T21" s="83"/>
      <c r="U21" s="83"/>
    </row>
    <row r="22" spans="2:21" ht="15" customHeight="1" thickBot="1" x14ac:dyDescent="0.3">
      <c r="B22" s="89"/>
      <c r="C22" s="83"/>
      <c r="D22" s="83"/>
      <c r="E22" s="98"/>
      <c r="F22" s="83"/>
      <c r="G22" s="83"/>
      <c r="H22" s="83"/>
      <c r="I22" s="197" t="s">
        <v>104</v>
      </c>
      <c r="J22" s="198"/>
      <c r="K22" s="198"/>
      <c r="L22" s="199"/>
      <c r="M22" s="61"/>
      <c r="N22" s="61"/>
      <c r="O22" s="83"/>
      <c r="P22" s="83"/>
      <c r="Q22" s="83">
        <f>Q19*Q20*Q21</f>
        <v>960</v>
      </c>
      <c r="R22" s="83"/>
      <c r="S22" s="83"/>
      <c r="T22" s="83"/>
      <c r="U22" s="83"/>
    </row>
    <row r="23" spans="2:21" ht="15" customHeight="1" thickBot="1" x14ac:dyDescent="0.3">
      <c r="B23" s="99"/>
      <c r="C23" s="100">
        <f>C21*D21*E21</f>
        <v>38.400000000000006</v>
      </c>
      <c r="D23" s="101" t="s">
        <v>116</v>
      </c>
      <c r="E23" s="102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200" t="s">
        <v>145</v>
      </c>
      <c r="Q23" s="200"/>
      <c r="R23" s="63" t="s">
        <v>140</v>
      </c>
      <c r="S23" s="83" t="s">
        <v>139</v>
      </c>
      <c r="T23" s="63" t="s">
        <v>146</v>
      </c>
      <c r="U23" s="83"/>
    </row>
    <row r="24" spans="2:21" ht="15" customHeight="1" thickBot="1" x14ac:dyDescent="0.3">
      <c r="C24" s="83"/>
      <c r="D24" s="83"/>
      <c r="E24" s="83"/>
      <c r="F24" s="83"/>
      <c r="G24" s="83"/>
      <c r="H24" s="83"/>
      <c r="I24" s="83" t="s">
        <v>134</v>
      </c>
      <c r="J24" s="83"/>
      <c r="K24" s="83"/>
      <c r="L24" s="83"/>
      <c r="M24" s="83"/>
      <c r="N24" s="83"/>
      <c r="O24" s="83"/>
      <c r="P24" s="63" t="s">
        <v>144</v>
      </c>
      <c r="Q24" s="83">
        <f>240/0.15</f>
        <v>1600</v>
      </c>
      <c r="R24" s="83"/>
      <c r="S24" s="83">
        <f>Q24*0.58</f>
        <v>927.99999999999989</v>
      </c>
      <c r="T24" s="83"/>
      <c r="U24" s="83"/>
    </row>
    <row r="25" spans="2:21" ht="15" customHeight="1" thickBot="1" x14ac:dyDescent="0.3">
      <c r="B25" s="197" t="s">
        <v>112</v>
      </c>
      <c r="C25" s="198"/>
      <c r="D25" s="206" t="s">
        <v>119</v>
      </c>
      <c r="E25" s="207"/>
      <c r="F25" s="62"/>
      <c r="G25" s="6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</row>
    <row r="26" spans="2:21" ht="15" customHeight="1" x14ac:dyDescent="0.25">
      <c r="B26" s="89"/>
      <c r="C26" s="83"/>
      <c r="D26" s="83"/>
      <c r="E26" s="98"/>
      <c r="F26" s="83"/>
      <c r="G26" s="83"/>
      <c r="H26" s="83"/>
      <c r="I26" s="60" t="s">
        <v>113</v>
      </c>
      <c r="J26" s="83" t="s">
        <v>135</v>
      </c>
      <c r="K26" s="63" t="s">
        <v>136</v>
      </c>
      <c r="L26" s="83"/>
      <c r="M26" s="83"/>
      <c r="N26" s="83"/>
      <c r="O26" s="83"/>
      <c r="P26" s="83"/>
      <c r="Q26" s="83"/>
      <c r="R26" s="83"/>
      <c r="S26" s="83"/>
      <c r="T26" s="83"/>
      <c r="U26" s="83"/>
    </row>
    <row r="27" spans="2:21" ht="15" customHeight="1" x14ac:dyDescent="0.25">
      <c r="B27" s="89"/>
      <c r="C27" s="60" t="s">
        <v>113</v>
      </c>
      <c r="D27" s="60" t="s">
        <v>114</v>
      </c>
      <c r="E27" s="97" t="s">
        <v>115</v>
      </c>
      <c r="F27" s="60"/>
      <c r="G27" s="60"/>
      <c r="H27" s="83"/>
      <c r="I27" s="83">
        <v>160</v>
      </c>
      <c r="J27" s="63" t="s">
        <v>105</v>
      </c>
      <c r="K27" s="83">
        <f>80*4*3</f>
        <v>960</v>
      </c>
      <c r="L27" s="83"/>
      <c r="M27" s="83"/>
      <c r="N27" s="83"/>
      <c r="O27" s="83"/>
      <c r="P27" s="83"/>
      <c r="Q27" s="83"/>
      <c r="R27" s="83"/>
      <c r="S27" s="83"/>
      <c r="T27" s="83"/>
      <c r="U27" s="83"/>
    </row>
    <row r="28" spans="2:21" ht="15" customHeight="1" x14ac:dyDescent="0.25">
      <c r="B28" s="89"/>
      <c r="C28" s="83">
        <v>160</v>
      </c>
      <c r="D28" s="83"/>
      <c r="E28" s="98">
        <v>0.4</v>
      </c>
      <c r="F28" s="83"/>
      <c r="G28" s="83"/>
      <c r="H28" s="83"/>
      <c r="I28" s="200" t="s">
        <v>137</v>
      </c>
      <c r="J28" s="200"/>
      <c r="K28" s="63">
        <v>3</v>
      </c>
      <c r="L28" s="83">
        <v>4</v>
      </c>
      <c r="M28" s="83">
        <v>12</v>
      </c>
      <c r="N28" s="63" t="s">
        <v>105</v>
      </c>
      <c r="Q28" s="83"/>
      <c r="R28" s="83"/>
      <c r="S28" s="83"/>
      <c r="T28" s="83"/>
      <c r="U28" s="83"/>
    </row>
    <row r="29" spans="2:21" ht="15" customHeight="1" x14ac:dyDescent="0.25">
      <c r="B29" s="89"/>
      <c r="C29" s="83"/>
      <c r="D29" s="83"/>
      <c r="E29" s="98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  <row r="30" spans="2:21" ht="15" customHeight="1" thickBot="1" x14ac:dyDescent="0.3">
      <c r="B30" s="99"/>
      <c r="C30" s="100" t="s">
        <v>118</v>
      </c>
      <c r="D30" s="100">
        <f>C28*E28*2</f>
        <v>128</v>
      </c>
      <c r="E30" s="103" t="s">
        <v>120</v>
      </c>
      <c r="F30" s="63"/>
      <c r="G30" s="63"/>
      <c r="H30" s="83"/>
      <c r="I30" s="201" t="s">
        <v>138</v>
      </c>
      <c r="J30" s="201"/>
      <c r="K30" s="63" t="s">
        <v>140</v>
      </c>
      <c r="L30" s="83" t="s">
        <v>139</v>
      </c>
      <c r="M30" s="83"/>
      <c r="N30" s="83"/>
      <c r="O30" s="83"/>
      <c r="P30" s="83"/>
      <c r="Q30" s="83"/>
      <c r="R30" s="83"/>
      <c r="S30" s="83"/>
      <c r="T30" s="83"/>
      <c r="U30" s="83"/>
    </row>
    <row r="31" spans="2:21" ht="15" customHeight="1" x14ac:dyDescent="0.25"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</row>
    <row r="32" spans="2:21" ht="15" customHeight="1" thickBot="1" x14ac:dyDescent="0.3">
      <c r="C32" s="83"/>
      <c r="D32" s="83"/>
      <c r="E32" s="83"/>
      <c r="F32" s="83"/>
      <c r="G32" s="83"/>
      <c r="H32" s="83"/>
      <c r="I32" s="83">
        <f>240/0.15</f>
        <v>1600</v>
      </c>
      <c r="J32" s="83"/>
      <c r="K32" s="83">
        <f>I32*0.58</f>
        <v>927.99999999999989</v>
      </c>
      <c r="L32" s="83"/>
      <c r="M32" s="83"/>
      <c r="N32" s="83"/>
      <c r="O32" s="83"/>
      <c r="P32" s="83"/>
      <c r="Q32" s="83"/>
      <c r="R32" s="83"/>
      <c r="S32" s="83"/>
      <c r="T32" s="83"/>
      <c r="U32" s="83"/>
    </row>
    <row r="33" spans="2:21" ht="15" customHeight="1" thickBot="1" x14ac:dyDescent="0.3">
      <c r="B33" s="197" t="s">
        <v>121</v>
      </c>
      <c r="C33" s="198"/>
      <c r="D33" s="198"/>
      <c r="E33" s="106"/>
      <c r="F33" s="130"/>
      <c r="G33" s="130"/>
      <c r="H33" s="83"/>
      <c r="I33" s="208" t="s">
        <v>149</v>
      </c>
      <c r="J33" s="209"/>
      <c r="K33" s="209"/>
      <c r="L33" s="210"/>
      <c r="M33" s="83"/>
      <c r="N33" s="83"/>
      <c r="O33" s="83"/>
      <c r="P33" s="83"/>
      <c r="Q33" s="83"/>
      <c r="R33" s="83"/>
      <c r="S33" s="83"/>
      <c r="T33" s="83"/>
      <c r="U33" s="83"/>
    </row>
    <row r="34" spans="2:21" ht="15" customHeight="1" x14ac:dyDescent="0.25">
      <c r="B34" s="89"/>
      <c r="C34" s="83"/>
      <c r="D34" s="83"/>
      <c r="E34" s="98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</row>
    <row r="35" spans="2:21" ht="15" customHeight="1" x14ac:dyDescent="0.25">
      <c r="B35" s="104" t="s">
        <v>122</v>
      </c>
      <c r="C35" s="84"/>
      <c r="D35" s="83">
        <v>0.6</v>
      </c>
      <c r="E35" s="98"/>
      <c r="F35" s="83"/>
      <c r="G35" s="83"/>
      <c r="H35" s="83"/>
      <c r="I35" s="63" t="s">
        <v>150</v>
      </c>
      <c r="J35" s="83">
        <v>160</v>
      </c>
      <c r="K35" s="63" t="s">
        <v>105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</row>
    <row r="36" spans="2:21" ht="15" customHeight="1" x14ac:dyDescent="0.25">
      <c r="B36" s="204" t="s">
        <v>123</v>
      </c>
      <c r="C36" s="205"/>
      <c r="D36" s="83">
        <v>160</v>
      </c>
      <c r="E36" s="98"/>
      <c r="F36" s="83"/>
      <c r="G36" s="83"/>
      <c r="H36" s="83"/>
      <c r="I36" s="63" t="s">
        <v>151</v>
      </c>
      <c r="J36" s="83">
        <v>0.6</v>
      </c>
      <c r="K36" s="63" t="s">
        <v>105</v>
      </c>
      <c r="L36" s="83"/>
      <c r="M36" s="83"/>
      <c r="N36" s="83"/>
      <c r="O36" s="83"/>
      <c r="P36" s="83"/>
      <c r="Q36" s="83"/>
      <c r="R36" s="83"/>
      <c r="S36" s="83"/>
      <c r="T36" s="83"/>
      <c r="U36" s="83"/>
    </row>
    <row r="37" spans="2:21" ht="15" customHeight="1" x14ac:dyDescent="0.25">
      <c r="B37" s="204" t="s">
        <v>124</v>
      </c>
      <c r="C37" s="205"/>
      <c r="D37" s="83">
        <v>0.05</v>
      </c>
      <c r="E37" s="98"/>
      <c r="F37" s="83"/>
      <c r="G37" s="83"/>
      <c r="H37" s="83"/>
      <c r="I37" s="62" t="s">
        <v>133</v>
      </c>
      <c r="J37" s="83">
        <f>J35*J36</f>
        <v>96</v>
      </c>
      <c r="K37" s="63" t="s">
        <v>152</v>
      </c>
      <c r="L37" s="83"/>
      <c r="M37" s="83"/>
      <c r="N37" s="83"/>
      <c r="O37" s="83"/>
      <c r="P37" s="83"/>
      <c r="Q37" s="83"/>
      <c r="R37" s="83"/>
      <c r="S37" s="83"/>
      <c r="T37" s="83"/>
      <c r="U37" s="83"/>
    </row>
    <row r="38" spans="2:21" ht="15" customHeight="1" x14ac:dyDescent="0.25">
      <c r="B38" s="89"/>
      <c r="E38" s="90"/>
    </row>
    <row r="39" spans="2:21" ht="15" customHeight="1" thickBot="1" x14ac:dyDescent="0.3">
      <c r="B39" s="202" t="s">
        <v>118</v>
      </c>
      <c r="C39" s="203"/>
      <c r="D39" s="105">
        <f>D35*D36*D37</f>
        <v>4.8000000000000007</v>
      </c>
      <c r="E39" s="103" t="s">
        <v>116</v>
      </c>
      <c r="F39" s="63"/>
      <c r="G39" s="63"/>
    </row>
    <row r="40" spans="2:21" ht="15" customHeight="1" thickBot="1" x14ac:dyDescent="0.3">
      <c r="I40" s="197" t="s">
        <v>159</v>
      </c>
      <c r="J40" s="198"/>
      <c r="K40" s="198"/>
      <c r="L40" s="199"/>
    </row>
    <row r="41" spans="2:21" ht="15" customHeight="1" thickBot="1" x14ac:dyDescent="0.3">
      <c r="B41" s="197" t="s">
        <v>125</v>
      </c>
      <c r="C41" s="198"/>
      <c r="D41" s="198"/>
      <c r="E41" s="107"/>
      <c r="F41" s="79"/>
      <c r="G41" s="79"/>
    </row>
    <row r="42" spans="2:21" ht="15" customHeight="1" x14ac:dyDescent="0.25">
      <c r="B42" s="89"/>
      <c r="C42" s="83"/>
      <c r="D42" s="83"/>
      <c r="E42" s="90"/>
      <c r="I42" s="133">
        <v>80</v>
      </c>
      <c r="J42" s="65" t="s">
        <v>160</v>
      </c>
    </row>
    <row r="43" spans="2:21" ht="15" customHeight="1" x14ac:dyDescent="0.25">
      <c r="B43" s="104" t="s">
        <v>126</v>
      </c>
      <c r="C43" s="84"/>
      <c r="D43" s="83">
        <v>0.15</v>
      </c>
      <c r="E43" s="90"/>
      <c r="I43" s="133">
        <v>3</v>
      </c>
      <c r="J43" s="65" t="s">
        <v>127</v>
      </c>
    </row>
    <row r="44" spans="2:21" ht="15" customHeight="1" x14ac:dyDescent="0.25">
      <c r="B44" s="204" t="s">
        <v>123</v>
      </c>
      <c r="C44" s="205"/>
      <c r="D44" s="83">
        <v>160</v>
      </c>
      <c r="E44" s="90"/>
      <c r="I44" s="133">
        <v>0.2</v>
      </c>
      <c r="J44" s="65" t="s">
        <v>161</v>
      </c>
    </row>
    <row r="45" spans="2:21" ht="15" customHeight="1" x14ac:dyDescent="0.25">
      <c r="B45" s="204" t="s">
        <v>127</v>
      </c>
      <c r="C45" s="205"/>
      <c r="D45" s="83">
        <v>0.3</v>
      </c>
      <c r="E45" s="90"/>
    </row>
    <row r="46" spans="2:21" ht="15" customHeight="1" x14ac:dyDescent="0.25">
      <c r="B46" s="89"/>
      <c r="E46" s="90"/>
      <c r="I46" s="134">
        <f>I42*I43*I44*2</f>
        <v>96</v>
      </c>
    </row>
    <row r="47" spans="2:21" ht="15" customHeight="1" thickBot="1" x14ac:dyDescent="0.3">
      <c r="B47" s="202" t="s">
        <v>118</v>
      </c>
      <c r="C47" s="203"/>
      <c r="D47" s="105">
        <f>D43*D44*D45</f>
        <v>7.1999999999999993</v>
      </c>
      <c r="E47" s="103" t="s">
        <v>116</v>
      </c>
      <c r="F47" s="63"/>
      <c r="G47" s="63"/>
    </row>
    <row r="49" spans="2:11" ht="15" customHeight="1" x14ac:dyDescent="0.25">
      <c r="J49" s="83">
        <f>C23-D47</f>
        <v>31.200000000000006</v>
      </c>
      <c r="K49" s="65">
        <f>J49*1.3</f>
        <v>40.560000000000009</v>
      </c>
    </row>
    <row r="50" spans="2:11" ht="15" customHeight="1" thickBot="1" x14ac:dyDescent="0.3"/>
    <row r="51" spans="2:11" ht="15" customHeight="1" thickBot="1" x14ac:dyDescent="0.3">
      <c r="B51" s="194" t="s">
        <v>153</v>
      </c>
      <c r="C51" s="195"/>
      <c r="D51" s="195"/>
      <c r="E51" s="196"/>
    </row>
    <row r="52" spans="2:11" ht="15" customHeight="1" x14ac:dyDescent="0.25">
      <c r="B52" s="65" t="s">
        <v>154</v>
      </c>
    </row>
    <row r="53" spans="2:11" ht="15" customHeight="1" x14ac:dyDescent="0.25">
      <c r="B53" s="85">
        <v>350</v>
      </c>
      <c r="C53" s="65" t="s">
        <v>152</v>
      </c>
    </row>
    <row r="54" spans="2:11" ht="15" customHeight="1" x14ac:dyDescent="0.25">
      <c r="B54" s="65" t="s">
        <v>155</v>
      </c>
    </row>
    <row r="55" spans="2:11" ht="15" customHeight="1" x14ac:dyDescent="0.25">
      <c r="B55" s="85">
        <v>0.2</v>
      </c>
    </row>
    <row r="56" spans="2:11" ht="15" customHeight="1" x14ac:dyDescent="0.25">
      <c r="B56" s="65" t="s">
        <v>156</v>
      </c>
    </row>
    <row r="57" spans="2:11" ht="15" customHeight="1" x14ac:dyDescent="0.25">
      <c r="B57" s="85">
        <f>B53*B55</f>
        <v>70</v>
      </c>
    </row>
  </sheetData>
  <mergeCells count="26">
    <mergeCell ref="B25:C25"/>
    <mergeCell ref="B4:G4"/>
    <mergeCell ref="I4:N4"/>
    <mergeCell ref="I33:L33"/>
    <mergeCell ref="P4:U4"/>
    <mergeCell ref="B10:C10"/>
    <mergeCell ref="I19:J19"/>
    <mergeCell ref="I17:L17"/>
    <mergeCell ref="D18:E18"/>
    <mergeCell ref="B18:C18"/>
    <mergeCell ref="B51:E51"/>
    <mergeCell ref="I40:L40"/>
    <mergeCell ref="P17:S17"/>
    <mergeCell ref="P23:Q23"/>
    <mergeCell ref="I22:L22"/>
    <mergeCell ref="I28:J28"/>
    <mergeCell ref="I30:J30"/>
    <mergeCell ref="B39:C39"/>
    <mergeCell ref="B41:D41"/>
    <mergeCell ref="B44:C44"/>
    <mergeCell ref="B45:C45"/>
    <mergeCell ref="B47:C47"/>
    <mergeCell ref="D25:E25"/>
    <mergeCell ref="B33:D33"/>
    <mergeCell ref="B36:C36"/>
    <mergeCell ref="B37:C37"/>
  </mergeCells>
  <pageMargins left="0.51181102362204722" right="0.51181102362204722" top="0.78740157480314965" bottom="0.78740157480314965" header="0.31496062992125984" footer="0.31496062992125984"/>
  <pageSetup paperSize="9" scale="57" orientation="portrait" verticalDpi="0" r:id="rId1"/>
  <colBreaks count="2" manualBreakCount="2">
    <brk id="1" max="1048575" man="1"/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1"/>
  <sheetViews>
    <sheetView tabSelected="1" zoomScaleNormal="100" workbookViewId="0">
      <selection activeCell="B9" sqref="B9"/>
    </sheetView>
  </sheetViews>
  <sheetFormatPr defaultRowHeight="15" x14ac:dyDescent="0.25"/>
  <cols>
    <col min="1" max="1" width="4" customWidth="1"/>
    <col min="2" max="2" width="6.7109375" style="1" customWidth="1"/>
    <col min="3" max="3" width="13.85546875" style="19" customWidth="1"/>
    <col min="4" max="4" width="82.85546875" customWidth="1"/>
    <col min="5" max="5" width="9.140625" style="19"/>
    <col min="6" max="6" width="9.28515625" style="18" bestFit="1" customWidth="1"/>
    <col min="7" max="9" width="15.7109375" style="18" customWidth="1"/>
    <col min="16" max="16" width="12.42578125" style="26" customWidth="1"/>
    <col min="18" max="18" width="15.7109375" style="18" customWidth="1"/>
    <col min="21" max="21" width="12.7109375" customWidth="1"/>
    <col min="23" max="23" width="12.7109375" style="151" customWidth="1"/>
  </cols>
  <sheetData>
    <row r="1" spans="2:23" ht="9.9499999999999993" customHeight="1" x14ac:dyDescent="0.25"/>
    <row r="2" spans="2:23" x14ac:dyDescent="0.25">
      <c r="B2" s="221"/>
      <c r="C2" s="222"/>
      <c r="D2" s="153" t="s">
        <v>0</v>
      </c>
      <c r="E2" s="144"/>
      <c r="F2" s="20"/>
      <c r="G2" s="20"/>
      <c r="H2" s="20"/>
      <c r="I2" s="21"/>
    </row>
    <row r="3" spans="2:23" x14ac:dyDescent="0.25">
      <c r="B3" s="223"/>
      <c r="C3" s="201"/>
      <c r="D3" s="150" t="s">
        <v>61</v>
      </c>
      <c r="E3" s="15"/>
      <c r="F3" s="16"/>
      <c r="G3" s="16"/>
      <c r="H3" s="36" t="s">
        <v>1</v>
      </c>
      <c r="I3" s="30">
        <v>0.24229999999999999</v>
      </c>
    </row>
    <row r="4" spans="2:23" x14ac:dyDescent="0.25">
      <c r="B4" s="223"/>
      <c r="C4" s="201"/>
      <c r="D4" s="150" t="s">
        <v>97</v>
      </c>
      <c r="E4" s="15"/>
      <c r="F4" s="16"/>
      <c r="G4" s="16"/>
      <c r="H4" s="16"/>
      <c r="I4" s="22"/>
    </row>
    <row r="5" spans="2:23" x14ac:dyDescent="0.25">
      <c r="B5" s="48"/>
      <c r="C5" s="60"/>
      <c r="D5" s="145"/>
      <c r="E5" s="220" t="s">
        <v>44</v>
      </c>
      <c r="F5" s="220"/>
      <c r="G5" s="220"/>
      <c r="H5" s="220"/>
      <c r="I5" s="5">
        <f>I74</f>
        <v>273434.43</v>
      </c>
    </row>
    <row r="6" spans="2:23" ht="15" customHeight="1" x14ac:dyDescent="0.25">
      <c r="B6" s="51"/>
      <c r="C6" s="224"/>
      <c r="D6" s="146"/>
      <c r="E6" s="190" t="s">
        <v>3</v>
      </c>
      <c r="F6" s="191" t="s">
        <v>4</v>
      </c>
      <c r="G6" s="212" t="s">
        <v>5</v>
      </c>
      <c r="H6" s="212" t="s">
        <v>6</v>
      </c>
      <c r="I6" s="212" t="s">
        <v>7</v>
      </c>
      <c r="J6" s="19"/>
    </row>
    <row r="7" spans="2:23" x14ac:dyDescent="0.25">
      <c r="B7" s="31"/>
      <c r="C7" s="225"/>
      <c r="D7" s="186"/>
      <c r="E7" s="192"/>
      <c r="F7" s="193"/>
      <c r="G7" s="213"/>
      <c r="H7" s="213"/>
      <c r="I7" s="213"/>
      <c r="P7" s="188"/>
      <c r="Q7" s="188"/>
      <c r="R7" s="188"/>
      <c r="S7" s="188"/>
      <c r="T7" s="188"/>
      <c r="U7" s="188"/>
    </row>
    <row r="8" spans="2:23" x14ac:dyDescent="0.25">
      <c r="B8" s="6" t="s">
        <v>2</v>
      </c>
      <c r="C8" s="214" t="s">
        <v>66</v>
      </c>
      <c r="D8" s="47" t="s">
        <v>62</v>
      </c>
      <c r="E8" s="27" t="s">
        <v>8</v>
      </c>
      <c r="F8" s="5"/>
      <c r="G8" s="5"/>
      <c r="H8" s="5"/>
      <c r="I8" s="5"/>
      <c r="P8" s="188"/>
      <c r="Q8" s="188"/>
      <c r="R8" s="188"/>
      <c r="S8" s="188"/>
      <c r="T8" s="188"/>
      <c r="U8" s="188"/>
    </row>
    <row r="9" spans="2:23" x14ac:dyDescent="0.25">
      <c r="B9" s="6">
        <v>1</v>
      </c>
      <c r="C9" s="215"/>
      <c r="D9" s="27" t="s">
        <v>45</v>
      </c>
      <c r="E9" s="27" t="s">
        <v>8</v>
      </c>
      <c r="F9" s="5"/>
      <c r="G9" s="5"/>
      <c r="H9" s="44" t="s">
        <v>187</v>
      </c>
      <c r="I9" s="5">
        <f>SUM(I10:I16)</f>
        <v>22385.93</v>
      </c>
      <c r="P9" s="188"/>
      <c r="Q9" s="188"/>
      <c r="R9" s="188"/>
      <c r="S9" s="188"/>
      <c r="T9" s="188"/>
      <c r="U9" s="188"/>
      <c r="W9" s="151">
        <f>I9</f>
        <v>22385.93</v>
      </c>
    </row>
    <row r="10" spans="2:23" x14ac:dyDescent="0.25">
      <c r="B10" s="2" t="s">
        <v>9</v>
      </c>
      <c r="C10" s="4" t="s">
        <v>46</v>
      </c>
      <c r="D10" s="3" t="s">
        <v>47</v>
      </c>
      <c r="E10" s="4" t="s">
        <v>10</v>
      </c>
      <c r="F10" s="7">
        <v>156.19999999999999</v>
      </c>
      <c r="G10" s="7">
        <v>83.19</v>
      </c>
      <c r="H10" s="7">
        <f>ROUND(G10*(1+$I$3),2)</f>
        <v>103.35</v>
      </c>
      <c r="I10" s="7">
        <f>ROUND(F10*H10,2)</f>
        <v>16143.27</v>
      </c>
      <c r="P10" s="26">
        <f>ROUND(G10*(1+$I$3),2)</f>
        <v>103.35</v>
      </c>
      <c r="R10" s="18">
        <f>F10*P10</f>
        <v>16143.269999999999</v>
      </c>
      <c r="U10" s="151">
        <f>I10-R10</f>
        <v>0</v>
      </c>
    </row>
    <row r="11" spans="2:23" ht="30" customHeight="1" x14ac:dyDescent="0.25">
      <c r="B11" s="4" t="s">
        <v>11</v>
      </c>
      <c r="C11" s="4">
        <v>9540</v>
      </c>
      <c r="D11" s="8" t="s">
        <v>48</v>
      </c>
      <c r="E11" s="4" t="s">
        <v>148</v>
      </c>
      <c r="F11" s="9">
        <v>1</v>
      </c>
      <c r="G11" s="9">
        <v>894.74</v>
      </c>
      <c r="H11" s="9">
        <f>G11*(1+I3)</f>
        <v>1111.535502</v>
      </c>
      <c r="I11" s="9">
        <f t="shared" ref="I11:I33" si="0">ROUND(F11*H11,2)</f>
        <v>1111.54</v>
      </c>
      <c r="P11" s="26">
        <f t="shared" ref="P11:P33" si="1">ROUND(G11*(1+$I$3),2)</f>
        <v>1111.54</v>
      </c>
      <c r="R11" s="26">
        <f t="shared" ref="R11:R33" si="2">F11*P11</f>
        <v>1111.54</v>
      </c>
      <c r="U11" s="151">
        <f t="shared" ref="U11:U70" si="3">I11-R11</f>
        <v>0</v>
      </c>
    </row>
    <row r="12" spans="2:23" x14ac:dyDescent="0.25">
      <c r="B12" s="2" t="s">
        <v>13</v>
      </c>
      <c r="C12" s="4" t="s">
        <v>49</v>
      </c>
      <c r="D12" s="3" t="s">
        <v>50</v>
      </c>
      <c r="E12" s="4" t="s">
        <v>148</v>
      </c>
      <c r="F12" s="7">
        <v>1</v>
      </c>
      <c r="G12" s="7">
        <v>1106.08</v>
      </c>
      <c r="H12" s="7">
        <f>ROUND(G12*(1+$I$3),2)</f>
        <v>1374.08</v>
      </c>
      <c r="I12" s="7">
        <f t="shared" si="0"/>
        <v>1374.08</v>
      </c>
      <c r="P12" s="26">
        <f t="shared" si="1"/>
        <v>1374.08</v>
      </c>
      <c r="R12" s="18">
        <f t="shared" si="2"/>
        <v>1374.08</v>
      </c>
      <c r="U12" s="151">
        <f t="shared" si="3"/>
        <v>0</v>
      </c>
    </row>
    <row r="13" spans="2:23" x14ac:dyDescent="0.25">
      <c r="B13" s="2" t="s">
        <v>14</v>
      </c>
      <c r="C13" s="4" t="s">
        <v>51</v>
      </c>
      <c r="D13" s="3" t="s">
        <v>52</v>
      </c>
      <c r="E13" s="4" t="s">
        <v>148</v>
      </c>
      <c r="F13" s="7">
        <v>1</v>
      </c>
      <c r="G13" s="7">
        <v>459.76</v>
      </c>
      <c r="H13" s="7">
        <f>ROUND(G13*(1+$I$3),2)</f>
        <v>571.16</v>
      </c>
      <c r="I13" s="7">
        <f t="shared" si="0"/>
        <v>571.16</v>
      </c>
      <c r="P13" s="26">
        <f t="shared" si="1"/>
        <v>571.16</v>
      </c>
      <c r="R13" s="18">
        <f t="shared" si="2"/>
        <v>571.16</v>
      </c>
      <c r="U13" s="151">
        <f t="shared" si="3"/>
        <v>0</v>
      </c>
    </row>
    <row r="14" spans="2:23" x14ac:dyDescent="0.25">
      <c r="B14" s="2" t="s">
        <v>15</v>
      </c>
      <c r="C14" s="4" t="s">
        <v>53</v>
      </c>
      <c r="D14" s="3" t="s">
        <v>54</v>
      </c>
      <c r="E14" s="4" t="s">
        <v>55</v>
      </c>
      <c r="F14" s="7">
        <v>3</v>
      </c>
      <c r="G14" s="7">
        <v>339.84</v>
      </c>
      <c r="H14" s="7">
        <f>ROUND(G14*(1+$I$3),2)</f>
        <v>422.18</v>
      </c>
      <c r="I14" s="7">
        <f t="shared" si="0"/>
        <v>1266.54</v>
      </c>
      <c r="P14" s="26">
        <f t="shared" si="1"/>
        <v>422.18</v>
      </c>
      <c r="R14" s="18">
        <f t="shared" si="2"/>
        <v>1266.54</v>
      </c>
      <c r="U14" s="151">
        <f t="shared" si="3"/>
        <v>0</v>
      </c>
    </row>
    <row r="15" spans="2:23" x14ac:dyDescent="0.25">
      <c r="B15" s="2" t="s">
        <v>56</v>
      </c>
      <c r="C15" s="4" t="s">
        <v>57</v>
      </c>
      <c r="D15" s="3" t="s">
        <v>58</v>
      </c>
      <c r="E15" s="4" t="s">
        <v>55</v>
      </c>
      <c r="F15" s="7">
        <v>3</v>
      </c>
      <c r="G15" s="7">
        <v>515</v>
      </c>
      <c r="H15" s="7">
        <f>ROUND(G15*(1+$I$3),2)</f>
        <v>639.78</v>
      </c>
      <c r="I15" s="7">
        <f t="shared" si="0"/>
        <v>1919.34</v>
      </c>
      <c r="P15" s="26">
        <f t="shared" si="1"/>
        <v>639.78</v>
      </c>
      <c r="R15" s="18">
        <f t="shared" si="2"/>
        <v>1919.34</v>
      </c>
      <c r="U15" s="151">
        <f t="shared" si="3"/>
        <v>0</v>
      </c>
    </row>
    <row r="16" spans="2:23" s="39" customFormat="1" x14ac:dyDescent="0.25">
      <c r="B16" s="24"/>
      <c r="C16" s="38"/>
      <c r="D16" s="76"/>
      <c r="E16" s="38"/>
      <c r="F16" s="136"/>
      <c r="G16" s="136"/>
      <c r="H16" s="136"/>
      <c r="I16" s="136"/>
      <c r="P16" s="40"/>
      <c r="R16" s="41"/>
      <c r="U16" s="41"/>
      <c r="W16" s="41"/>
    </row>
    <row r="17" spans="2:23" x14ac:dyDescent="0.25">
      <c r="B17" s="6"/>
      <c r="C17" s="27"/>
      <c r="D17" s="6" t="s">
        <v>79</v>
      </c>
      <c r="E17" s="27"/>
      <c r="F17" s="5"/>
      <c r="G17" s="5"/>
      <c r="H17" s="44" t="s">
        <v>187</v>
      </c>
      <c r="I17" s="5">
        <f>SUM(I18:I33)</f>
        <v>108764.48999999999</v>
      </c>
      <c r="U17" s="151"/>
      <c r="W17" s="151">
        <f>I17</f>
        <v>108764.48999999999</v>
      </c>
    </row>
    <row r="18" spans="2:23" x14ac:dyDescent="0.25">
      <c r="B18" s="4" t="s">
        <v>16</v>
      </c>
      <c r="C18" s="4">
        <v>96527</v>
      </c>
      <c r="D18" s="3" t="s">
        <v>67</v>
      </c>
      <c r="E18" s="4" t="s">
        <v>17</v>
      </c>
      <c r="F18" s="55">
        <v>38.4</v>
      </c>
      <c r="G18" s="7">
        <v>95.77</v>
      </c>
      <c r="H18" s="7">
        <f t="shared" ref="H18:H33" si="4">ROUND(G18*(1+$I$3),2)</f>
        <v>118.98</v>
      </c>
      <c r="I18" s="7">
        <f t="shared" si="0"/>
        <v>4568.83</v>
      </c>
      <c r="P18" s="26">
        <f t="shared" si="1"/>
        <v>118.98</v>
      </c>
      <c r="R18" s="18">
        <f t="shared" si="2"/>
        <v>4568.8320000000003</v>
      </c>
      <c r="U18" s="151">
        <f t="shared" si="3"/>
        <v>-2.0000000004074536E-3</v>
      </c>
    </row>
    <row r="19" spans="2:23" s="66" customFormat="1" x14ac:dyDescent="0.25">
      <c r="B19" s="4" t="s">
        <v>18</v>
      </c>
      <c r="C19" s="4">
        <v>79480</v>
      </c>
      <c r="D19" s="66" t="s">
        <v>162</v>
      </c>
      <c r="E19" s="4" t="s">
        <v>17</v>
      </c>
      <c r="F19" s="55">
        <v>70</v>
      </c>
      <c r="G19" s="72">
        <v>1.99</v>
      </c>
      <c r="H19" s="72">
        <f t="shared" si="4"/>
        <v>2.4700000000000002</v>
      </c>
      <c r="I19" s="72">
        <f t="shared" si="0"/>
        <v>172.9</v>
      </c>
      <c r="P19" s="26">
        <f t="shared" si="1"/>
        <v>2.4700000000000002</v>
      </c>
      <c r="R19" s="71">
        <f t="shared" si="2"/>
        <v>172.9</v>
      </c>
      <c r="U19" s="151">
        <f t="shared" si="3"/>
        <v>0</v>
      </c>
      <c r="W19" s="151"/>
    </row>
    <row r="20" spans="2:23" ht="30" customHeight="1" x14ac:dyDescent="0.25">
      <c r="B20" s="4" t="s">
        <v>19</v>
      </c>
      <c r="C20" s="4">
        <v>94097</v>
      </c>
      <c r="D20" s="11" t="s">
        <v>68</v>
      </c>
      <c r="E20" s="4" t="s">
        <v>10</v>
      </c>
      <c r="F20" s="32">
        <v>96</v>
      </c>
      <c r="G20" s="32">
        <v>3.81</v>
      </c>
      <c r="H20" s="32">
        <f t="shared" si="4"/>
        <v>4.7300000000000004</v>
      </c>
      <c r="I20" s="32">
        <f t="shared" si="0"/>
        <v>454.08</v>
      </c>
      <c r="P20" s="26">
        <f t="shared" si="1"/>
        <v>4.7300000000000004</v>
      </c>
      <c r="R20" s="18">
        <f t="shared" si="2"/>
        <v>454.08000000000004</v>
      </c>
      <c r="U20" s="151">
        <f t="shared" si="3"/>
        <v>0</v>
      </c>
    </row>
    <row r="21" spans="2:23" s="25" customFormat="1" ht="30" customHeight="1" x14ac:dyDescent="0.25">
      <c r="B21" s="4" t="s">
        <v>21</v>
      </c>
      <c r="C21" s="34">
        <v>96616</v>
      </c>
      <c r="D21" s="11" t="s">
        <v>20</v>
      </c>
      <c r="E21" s="34" t="s">
        <v>17</v>
      </c>
      <c r="F21" s="37">
        <v>4.8</v>
      </c>
      <c r="G21" s="37">
        <v>366.86</v>
      </c>
      <c r="H21" s="37">
        <f t="shared" si="4"/>
        <v>455.75</v>
      </c>
      <c r="I21" s="37">
        <f t="shared" si="0"/>
        <v>2187.6</v>
      </c>
      <c r="P21" s="26">
        <f t="shared" si="1"/>
        <v>455.75</v>
      </c>
      <c r="R21" s="18">
        <f t="shared" si="2"/>
        <v>2187.6</v>
      </c>
      <c r="U21" s="151">
        <f t="shared" si="3"/>
        <v>0</v>
      </c>
      <c r="W21" s="176"/>
    </row>
    <row r="22" spans="2:23" s="25" customFormat="1" ht="30" customHeight="1" x14ac:dyDescent="0.25">
      <c r="B22" s="4" t="s">
        <v>24</v>
      </c>
      <c r="C22" s="34">
        <v>98228</v>
      </c>
      <c r="D22" s="11" t="s">
        <v>22</v>
      </c>
      <c r="E22" s="34" t="s">
        <v>23</v>
      </c>
      <c r="F22" s="37">
        <v>296</v>
      </c>
      <c r="G22" s="37">
        <v>41.05</v>
      </c>
      <c r="H22" s="37">
        <f t="shared" si="4"/>
        <v>51</v>
      </c>
      <c r="I22" s="37">
        <f t="shared" si="0"/>
        <v>15096</v>
      </c>
      <c r="P22" s="26">
        <f t="shared" si="1"/>
        <v>51</v>
      </c>
      <c r="R22" s="18">
        <f t="shared" si="2"/>
        <v>15096</v>
      </c>
      <c r="U22" s="151">
        <f t="shared" si="3"/>
        <v>0</v>
      </c>
      <c r="W22" s="176"/>
    </row>
    <row r="23" spans="2:23" x14ac:dyDescent="0.25">
      <c r="B23" s="4" t="s">
        <v>25</v>
      </c>
      <c r="C23" s="4">
        <v>96995</v>
      </c>
      <c r="D23" s="3" t="s">
        <v>69</v>
      </c>
      <c r="E23" s="4" t="s">
        <v>17</v>
      </c>
      <c r="F23" s="55">
        <v>31.8</v>
      </c>
      <c r="G23" s="7">
        <v>29.47</v>
      </c>
      <c r="H23" s="7">
        <f t="shared" si="4"/>
        <v>36.61</v>
      </c>
      <c r="I23" s="7">
        <f t="shared" si="0"/>
        <v>1164.2</v>
      </c>
      <c r="P23" s="26">
        <f t="shared" si="1"/>
        <v>36.61</v>
      </c>
      <c r="R23" s="18">
        <f t="shared" si="2"/>
        <v>1164.1980000000001</v>
      </c>
      <c r="U23" s="151">
        <f t="shared" si="3"/>
        <v>1.9999999999527063E-3</v>
      </c>
    </row>
    <row r="24" spans="2:23" s="39" customFormat="1" ht="30" customHeight="1" x14ac:dyDescent="0.25">
      <c r="B24" s="4" t="s">
        <v>26</v>
      </c>
      <c r="C24" s="38" t="s">
        <v>92</v>
      </c>
      <c r="D24" s="43" t="s">
        <v>93</v>
      </c>
      <c r="E24" s="38" t="s">
        <v>17</v>
      </c>
      <c r="F24" s="42">
        <v>800</v>
      </c>
      <c r="G24" s="42">
        <v>1.55</v>
      </c>
      <c r="H24" s="42">
        <f t="shared" si="4"/>
        <v>1.93</v>
      </c>
      <c r="I24" s="42">
        <f t="shared" si="0"/>
        <v>1544</v>
      </c>
      <c r="P24" s="40">
        <f t="shared" si="1"/>
        <v>1.93</v>
      </c>
      <c r="R24" s="41">
        <f t="shared" si="2"/>
        <v>1544</v>
      </c>
      <c r="U24" s="151">
        <f t="shared" si="3"/>
        <v>0</v>
      </c>
      <c r="W24" s="41"/>
    </row>
    <row r="25" spans="2:23" s="39" customFormat="1" ht="30" customHeight="1" x14ac:dyDescent="0.25">
      <c r="B25" s="38" t="s">
        <v>27</v>
      </c>
      <c r="C25" s="38">
        <v>97914</v>
      </c>
      <c r="D25" s="43" t="s">
        <v>96</v>
      </c>
      <c r="E25" s="38" t="s">
        <v>95</v>
      </c>
      <c r="F25" s="42">
        <f>F24*6</f>
        <v>4800</v>
      </c>
      <c r="G25" s="42">
        <v>1.46</v>
      </c>
      <c r="H25" s="42">
        <f t="shared" si="4"/>
        <v>1.81</v>
      </c>
      <c r="I25" s="42">
        <f t="shared" si="0"/>
        <v>8688</v>
      </c>
      <c r="P25" s="40">
        <f t="shared" si="1"/>
        <v>1.81</v>
      </c>
      <c r="R25" s="41">
        <f t="shared" si="2"/>
        <v>8688</v>
      </c>
      <c r="U25" s="151">
        <f t="shared" si="3"/>
        <v>0</v>
      </c>
      <c r="W25" s="41"/>
    </row>
    <row r="26" spans="2:23" s="39" customFormat="1" ht="30" customHeight="1" x14ac:dyDescent="0.25">
      <c r="B26" s="38" t="s">
        <v>28</v>
      </c>
      <c r="C26" s="38">
        <v>96541</v>
      </c>
      <c r="D26" s="43" t="s">
        <v>70</v>
      </c>
      <c r="E26" s="38" t="s">
        <v>10</v>
      </c>
      <c r="F26" s="42">
        <v>77.760000000000005</v>
      </c>
      <c r="G26" s="42">
        <v>108.41</v>
      </c>
      <c r="H26" s="42">
        <f t="shared" si="4"/>
        <v>134.68</v>
      </c>
      <c r="I26" s="42">
        <f t="shared" si="0"/>
        <v>10472.719999999999</v>
      </c>
      <c r="P26" s="40">
        <f t="shared" si="1"/>
        <v>134.68</v>
      </c>
      <c r="R26" s="41">
        <f t="shared" si="2"/>
        <v>10472.716800000002</v>
      </c>
      <c r="U26" s="151">
        <f t="shared" si="3"/>
        <v>3.1999999973777449E-3</v>
      </c>
      <c r="W26" s="41"/>
    </row>
    <row r="27" spans="2:23" s="39" customFormat="1" ht="30" customHeight="1" x14ac:dyDescent="0.25">
      <c r="B27" s="38" t="s">
        <v>30</v>
      </c>
      <c r="C27" s="38">
        <v>96542</v>
      </c>
      <c r="D27" s="43" t="s">
        <v>71</v>
      </c>
      <c r="E27" s="38" t="s">
        <v>10</v>
      </c>
      <c r="F27" s="42">
        <v>128</v>
      </c>
      <c r="G27" s="42">
        <v>54.04</v>
      </c>
      <c r="H27" s="42">
        <f t="shared" si="4"/>
        <v>67.13</v>
      </c>
      <c r="I27" s="42">
        <f t="shared" si="0"/>
        <v>8592.64</v>
      </c>
      <c r="P27" s="40">
        <f t="shared" si="1"/>
        <v>67.13</v>
      </c>
      <c r="R27" s="41">
        <f t="shared" si="2"/>
        <v>8592.64</v>
      </c>
      <c r="U27" s="151">
        <f t="shared" si="3"/>
        <v>0</v>
      </c>
      <c r="W27" s="41"/>
    </row>
    <row r="28" spans="2:23" s="39" customFormat="1" ht="30" customHeight="1" x14ac:dyDescent="0.25">
      <c r="B28" s="38"/>
      <c r="C28" s="38">
        <v>92435</v>
      </c>
      <c r="D28" s="132" t="s">
        <v>158</v>
      </c>
      <c r="E28" s="38" t="s">
        <v>10</v>
      </c>
      <c r="F28" s="42">
        <v>96</v>
      </c>
      <c r="G28" s="42">
        <v>29.72</v>
      </c>
      <c r="H28" s="42">
        <f t="shared" si="4"/>
        <v>36.92</v>
      </c>
      <c r="I28" s="42">
        <f t="shared" si="0"/>
        <v>3544.32</v>
      </c>
      <c r="P28" s="40">
        <f t="shared" si="1"/>
        <v>36.92</v>
      </c>
      <c r="R28" s="41">
        <f t="shared" si="2"/>
        <v>3544.32</v>
      </c>
      <c r="U28" s="151">
        <f t="shared" si="3"/>
        <v>0</v>
      </c>
      <c r="W28" s="41"/>
    </row>
    <row r="29" spans="2:23" s="39" customFormat="1" ht="30" customHeight="1" x14ac:dyDescent="0.25">
      <c r="B29" s="38" t="s">
        <v>33</v>
      </c>
      <c r="C29" s="38">
        <v>96557</v>
      </c>
      <c r="D29" s="43" t="s">
        <v>72</v>
      </c>
      <c r="E29" s="38" t="s">
        <v>17</v>
      </c>
      <c r="F29" s="42">
        <v>18.87</v>
      </c>
      <c r="G29" s="42">
        <v>343.79</v>
      </c>
      <c r="H29" s="42">
        <f t="shared" si="4"/>
        <v>427.09</v>
      </c>
      <c r="I29" s="42">
        <f t="shared" si="0"/>
        <v>8059.19</v>
      </c>
      <c r="P29" s="40">
        <f t="shared" si="1"/>
        <v>427.09</v>
      </c>
      <c r="R29" s="41">
        <f t="shared" si="2"/>
        <v>8059.1882999999998</v>
      </c>
      <c r="U29" s="151">
        <f t="shared" si="3"/>
        <v>1.6999999998006388E-3</v>
      </c>
      <c r="W29" s="41"/>
    </row>
    <row r="30" spans="2:23" s="39" customFormat="1" x14ac:dyDescent="0.25">
      <c r="B30" s="38" t="s">
        <v>34</v>
      </c>
      <c r="C30" s="38" t="s">
        <v>163</v>
      </c>
      <c r="D30" s="76" t="s">
        <v>164</v>
      </c>
      <c r="E30" s="38" t="s">
        <v>29</v>
      </c>
      <c r="F30" s="135">
        <v>2192.86</v>
      </c>
      <c r="G30" s="136">
        <v>7.48</v>
      </c>
      <c r="H30" s="136">
        <f t="shared" si="4"/>
        <v>9.2899999999999991</v>
      </c>
      <c r="I30" s="136">
        <f t="shared" si="0"/>
        <v>20371.669999999998</v>
      </c>
      <c r="P30" s="40">
        <f t="shared" si="1"/>
        <v>9.2899999999999991</v>
      </c>
      <c r="R30" s="41">
        <f t="shared" si="2"/>
        <v>20371.669399999999</v>
      </c>
      <c r="U30" s="151">
        <f t="shared" si="3"/>
        <v>5.9999999939464033E-4</v>
      </c>
      <c r="W30" s="41"/>
    </row>
    <row r="31" spans="2:23" x14ac:dyDescent="0.25">
      <c r="B31" s="4" t="s">
        <v>36</v>
      </c>
      <c r="C31" s="4" t="s">
        <v>31</v>
      </c>
      <c r="D31" s="3" t="s">
        <v>32</v>
      </c>
      <c r="E31" s="4" t="s">
        <v>23</v>
      </c>
      <c r="F31" s="55">
        <v>100</v>
      </c>
      <c r="G31" s="7">
        <v>33.35</v>
      </c>
      <c r="H31" s="7">
        <f t="shared" si="4"/>
        <v>41.43</v>
      </c>
      <c r="I31" s="7">
        <f t="shared" si="0"/>
        <v>4143</v>
      </c>
      <c r="P31" s="26">
        <f t="shared" si="1"/>
        <v>41.43</v>
      </c>
      <c r="R31" s="18">
        <f t="shared" si="2"/>
        <v>4143</v>
      </c>
      <c r="U31" s="151">
        <f t="shared" si="3"/>
        <v>0</v>
      </c>
    </row>
    <row r="32" spans="2:23" s="39" customFormat="1" ht="30" customHeight="1" x14ac:dyDescent="0.25">
      <c r="B32" s="38" t="s">
        <v>94</v>
      </c>
      <c r="C32" s="38" t="s">
        <v>165</v>
      </c>
      <c r="D32" s="43" t="s">
        <v>166</v>
      </c>
      <c r="E32" s="38" t="s">
        <v>10</v>
      </c>
      <c r="F32" s="42">
        <v>215.7</v>
      </c>
      <c r="G32" s="137">
        <v>42.17</v>
      </c>
      <c r="H32" s="137">
        <f t="shared" si="4"/>
        <v>52.39</v>
      </c>
      <c r="I32" s="137">
        <f t="shared" si="0"/>
        <v>11300.52</v>
      </c>
      <c r="P32" s="40">
        <f t="shared" si="1"/>
        <v>52.39</v>
      </c>
      <c r="R32" s="41">
        <f t="shared" si="2"/>
        <v>11300.522999999999</v>
      </c>
      <c r="U32" s="151">
        <f t="shared" si="3"/>
        <v>-2.999999998792191E-3</v>
      </c>
      <c r="W32" s="41"/>
    </row>
    <row r="33" spans="2:23" s="138" customFormat="1" ht="30" customHeight="1" x14ac:dyDescent="0.25">
      <c r="B33" s="38" t="s">
        <v>157</v>
      </c>
      <c r="C33" s="38" t="s">
        <v>35</v>
      </c>
      <c r="D33" s="43" t="s">
        <v>167</v>
      </c>
      <c r="E33" s="38" t="s">
        <v>10</v>
      </c>
      <c r="F33" s="42">
        <v>48.8</v>
      </c>
      <c r="G33" s="42">
        <v>138.63999999999999</v>
      </c>
      <c r="H33" s="42">
        <f t="shared" si="4"/>
        <v>172.23</v>
      </c>
      <c r="I33" s="42">
        <f t="shared" si="0"/>
        <v>8404.82</v>
      </c>
      <c r="P33" s="174">
        <f t="shared" si="1"/>
        <v>172.23</v>
      </c>
      <c r="Q33" s="175"/>
      <c r="R33" s="174">
        <f t="shared" si="2"/>
        <v>8404.8239999999987</v>
      </c>
      <c r="U33" s="151">
        <f t="shared" si="3"/>
        <v>-3.9999999989959178E-3</v>
      </c>
      <c r="W33" s="139"/>
    </row>
    <row r="34" spans="2:23" s="69" customFormat="1" x14ac:dyDescent="0.25">
      <c r="B34" s="178"/>
      <c r="C34" s="179"/>
      <c r="D34" s="153"/>
      <c r="E34" s="179"/>
      <c r="F34" s="180"/>
      <c r="G34" s="180"/>
      <c r="H34" s="180"/>
      <c r="I34" s="180"/>
      <c r="P34" s="174"/>
      <c r="Q34" s="175"/>
      <c r="R34" s="174"/>
      <c r="U34" s="151"/>
      <c r="W34" s="16"/>
    </row>
    <row r="35" spans="2:23" s="69" customFormat="1" x14ac:dyDescent="0.25">
      <c r="B35" s="53"/>
      <c r="C35" s="144" t="s">
        <v>63</v>
      </c>
      <c r="D35" s="12"/>
      <c r="E35" s="144"/>
      <c r="F35" s="20"/>
      <c r="G35" s="20"/>
      <c r="H35" s="20"/>
      <c r="I35" s="21"/>
      <c r="P35" s="174"/>
      <c r="Q35" s="175"/>
      <c r="R35" s="174"/>
      <c r="U35" s="151"/>
      <c r="W35" s="16"/>
    </row>
    <row r="36" spans="2:23" s="69" customFormat="1" x14ac:dyDescent="0.25">
      <c r="B36" s="54"/>
      <c r="C36" s="15"/>
      <c r="D36" s="149" t="s">
        <v>64</v>
      </c>
      <c r="E36" s="15"/>
      <c r="F36" s="16"/>
      <c r="G36" s="16"/>
      <c r="H36" s="16"/>
      <c r="I36" s="22"/>
      <c r="P36" s="174"/>
      <c r="Q36" s="175"/>
      <c r="R36" s="174"/>
      <c r="U36" s="151"/>
      <c r="W36" s="16"/>
    </row>
    <row r="37" spans="2:23" s="69" customFormat="1" x14ac:dyDescent="0.25">
      <c r="B37" s="181"/>
      <c r="C37" s="182"/>
      <c r="D37" s="183" t="s">
        <v>65</v>
      </c>
      <c r="E37" s="182"/>
      <c r="F37" s="184"/>
      <c r="G37" s="184"/>
      <c r="H37" s="184"/>
      <c r="I37" s="185"/>
      <c r="P37" s="174"/>
      <c r="Q37" s="175"/>
      <c r="R37" s="174"/>
      <c r="U37" s="151"/>
      <c r="W37" s="16"/>
    </row>
    <row r="38" spans="2:23" s="14" customFormat="1" x14ac:dyDescent="0.25">
      <c r="B38" s="13"/>
      <c r="C38" s="15"/>
      <c r="E38" s="15"/>
      <c r="F38" s="16"/>
      <c r="G38" s="16"/>
      <c r="H38" s="16"/>
      <c r="I38" s="16"/>
      <c r="P38" s="174"/>
      <c r="Q38" s="175"/>
      <c r="R38" s="174"/>
      <c r="U38" s="151"/>
      <c r="W38" s="16"/>
    </row>
    <row r="39" spans="2:23" s="14" customFormat="1" x14ac:dyDescent="0.25">
      <c r="B39" s="13"/>
      <c r="C39" s="15"/>
      <c r="E39" s="15"/>
      <c r="F39" s="16"/>
      <c r="G39" s="16"/>
      <c r="H39" s="16"/>
      <c r="I39" s="16"/>
      <c r="P39" s="174"/>
      <c r="Q39" s="175"/>
      <c r="R39" s="174"/>
      <c r="U39" s="151"/>
      <c r="W39" s="16"/>
    </row>
    <row r="40" spans="2:23" s="14" customFormat="1" x14ac:dyDescent="0.25">
      <c r="B40" s="216"/>
      <c r="C40" s="217"/>
      <c r="D40" s="153" t="s">
        <v>0</v>
      </c>
      <c r="E40" s="144"/>
      <c r="F40" s="20"/>
      <c r="G40" s="20"/>
      <c r="H40" s="20"/>
      <c r="I40" s="21"/>
      <c r="P40" s="174"/>
      <c r="Q40" s="175"/>
      <c r="R40" s="174"/>
      <c r="U40" s="151"/>
      <c r="W40" s="16"/>
    </row>
    <row r="41" spans="2:23" s="14" customFormat="1" x14ac:dyDescent="0.25">
      <c r="B41" s="218"/>
      <c r="C41" s="219"/>
      <c r="D41" s="150" t="s">
        <v>61</v>
      </c>
      <c r="E41" s="15"/>
      <c r="F41" s="16"/>
      <c r="G41" s="16"/>
      <c r="H41" s="36" t="s">
        <v>1</v>
      </c>
      <c r="I41" s="30">
        <v>0.24229999999999999</v>
      </c>
      <c r="P41" s="174"/>
      <c r="Q41" s="175"/>
      <c r="R41" s="174"/>
      <c r="U41" s="151"/>
      <c r="W41" s="16"/>
    </row>
    <row r="42" spans="2:23" s="14" customFormat="1" x14ac:dyDescent="0.25">
      <c r="B42" s="218"/>
      <c r="C42" s="219"/>
      <c r="D42" s="150" t="s">
        <v>97</v>
      </c>
      <c r="E42" s="15"/>
      <c r="F42" s="16"/>
      <c r="G42" s="16"/>
      <c r="H42" s="16"/>
      <c r="I42" s="22"/>
      <c r="P42" s="174"/>
      <c r="Q42" s="175"/>
      <c r="R42" s="174"/>
      <c r="U42" s="151"/>
      <c r="W42" s="16"/>
    </row>
    <row r="43" spans="2:23" s="14" customFormat="1" x14ac:dyDescent="0.25">
      <c r="B43" s="50"/>
      <c r="C43" s="49"/>
      <c r="D43" s="145"/>
      <c r="E43" s="141"/>
      <c r="F43" s="141"/>
      <c r="G43" s="141"/>
      <c r="H43" s="141"/>
      <c r="I43" s="140"/>
      <c r="P43" s="174"/>
      <c r="Q43" s="175"/>
      <c r="R43" s="174"/>
      <c r="U43" s="151"/>
      <c r="W43" s="16"/>
    </row>
    <row r="44" spans="2:23" s="14" customFormat="1" x14ac:dyDescent="0.25">
      <c r="B44" s="31"/>
      <c r="C44" s="46"/>
      <c r="D44" s="146"/>
      <c r="E44" s="60"/>
      <c r="F44" s="64"/>
      <c r="G44" s="142"/>
      <c r="H44" s="142"/>
      <c r="I44" s="143"/>
      <c r="P44" s="174"/>
      <c r="Q44" s="175"/>
      <c r="R44" s="174"/>
      <c r="U44" s="151"/>
      <c r="W44" s="16"/>
    </row>
    <row r="45" spans="2:23" ht="15" customHeight="1" x14ac:dyDescent="0.25">
      <c r="B45" s="47"/>
      <c r="C45" s="214" t="s">
        <v>66</v>
      </c>
      <c r="D45" s="187"/>
      <c r="E45" s="190" t="s">
        <v>3</v>
      </c>
      <c r="F45" s="191" t="s">
        <v>4</v>
      </c>
      <c r="G45" s="212" t="s">
        <v>5</v>
      </c>
      <c r="H45" s="212" t="s">
        <v>6</v>
      </c>
      <c r="I45" s="212" t="s">
        <v>7</v>
      </c>
      <c r="P45" s="174"/>
      <c r="Q45" s="175"/>
      <c r="R45" s="174"/>
      <c r="U45" s="151"/>
    </row>
    <row r="46" spans="2:23" s="147" customFormat="1" x14ac:dyDescent="0.25">
      <c r="B46" s="47" t="s">
        <v>2</v>
      </c>
      <c r="C46" s="215"/>
      <c r="D46" s="6" t="s">
        <v>62</v>
      </c>
      <c r="E46" s="192"/>
      <c r="F46" s="193"/>
      <c r="G46" s="213"/>
      <c r="H46" s="213"/>
      <c r="I46" s="213"/>
      <c r="P46" s="174"/>
      <c r="Q46" s="175"/>
      <c r="R46" s="174"/>
      <c r="U46" s="151"/>
      <c r="W46" s="151"/>
    </row>
    <row r="47" spans="2:23" s="39" customFormat="1" x14ac:dyDescent="0.25">
      <c r="B47" s="6">
        <v>3</v>
      </c>
      <c r="C47" s="23"/>
      <c r="D47" s="6" t="s">
        <v>78</v>
      </c>
      <c r="E47" s="28"/>
      <c r="F47" s="29"/>
      <c r="G47" s="52"/>
      <c r="H47" s="172" t="s">
        <v>187</v>
      </c>
      <c r="I47" s="173">
        <f>SUM(I48:I52)</f>
        <v>48334.29</v>
      </c>
      <c r="P47" s="174"/>
      <c r="Q47" s="175"/>
      <c r="R47" s="174"/>
      <c r="U47" s="151"/>
      <c r="W47" s="41">
        <f>I47</f>
        <v>48334.29</v>
      </c>
    </row>
    <row r="48" spans="2:23" s="39" customFormat="1" x14ac:dyDescent="0.25">
      <c r="B48" s="68" t="s">
        <v>73</v>
      </c>
      <c r="C48" s="4" t="s">
        <v>37</v>
      </c>
      <c r="D48" s="24" t="s">
        <v>102</v>
      </c>
      <c r="E48" s="4" t="s">
        <v>17</v>
      </c>
      <c r="F48" s="72">
        <v>19.32</v>
      </c>
      <c r="G48" s="152">
        <v>390.54</v>
      </c>
      <c r="H48" s="72">
        <f t="shared" ref="H48:H61" si="5">ROUND(G48*(1+$I$3),2)</f>
        <v>485.17</v>
      </c>
      <c r="I48" s="72">
        <f t="shared" ref="I48:I61" si="6">ROUND(F48*H48,2)</f>
        <v>9373.48</v>
      </c>
      <c r="P48" s="174">
        <f t="shared" ref="P48:P70" si="7">ROUND(G48*(1+$I$3),2)</f>
        <v>485.17</v>
      </c>
      <c r="Q48" s="175"/>
      <c r="R48" s="174">
        <f t="shared" ref="R48:R70" si="8">F48*P48</f>
        <v>9373.4844000000012</v>
      </c>
      <c r="U48" s="151">
        <f>ROUND(I48-R48,2)</f>
        <v>0</v>
      </c>
      <c r="W48" s="41"/>
    </row>
    <row r="49" spans="2:23" s="39" customFormat="1" ht="30" customHeight="1" x14ac:dyDescent="0.25">
      <c r="B49" s="4" t="s">
        <v>74</v>
      </c>
      <c r="C49" s="4">
        <v>87879</v>
      </c>
      <c r="D49" s="11" t="s">
        <v>12</v>
      </c>
      <c r="E49" s="4" t="s">
        <v>10</v>
      </c>
      <c r="F49" s="32">
        <v>722.2</v>
      </c>
      <c r="G49" s="32">
        <v>2.46</v>
      </c>
      <c r="H49" s="32">
        <f t="shared" si="5"/>
        <v>3.06</v>
      </c>
      <c r="I49" s="32">
        <f t="shared" si="6"/>
        <v>2209.9299999999998</v>
      </c>
      <c r="P49" s="174">
        <f t="shared" si="7"/>
        <v>3.06</v>
      </c>
      <c r="Q49" s="175"/>
      <c r="R49" s="174">
        <f t="shared" si="8"/>
        <v>2209.9320000000002</v>
      </c>
      <c r="U49" s="151">
        <f t="shared" ref="U49:U61" si="9">ROUND(I49-R49,2)</f>
        <v>0</v>
      </c>
      <c r="W49" s="41"/>
    </row>
    <row r="50" spans="2:23" s="39" customFormat="1" ht="30" x14ac:dyDescent="0.25">
      <c r="B50" s="68" t="s">
        <v>75</v>
      </c>
      <c r="C50" s="4">
        <v>87529</v>
      </c>
      <c r="D50" s="10" t="s">
        <v>82</v>
      </c>
      <c r="E50" s="4" t="s">
        <v>10</v>
      </c>
      <c r="F50" s="32">
        <v>722.2</v>
      </c>
      <c r="G50" s="32">
        <v>22.67</v>
      </c>
      <c r="H50" s="32">
        <f t="shared" si="5"/>
        <v>28.16</v>
      </c>
      <c r="I50" s="32">
        <f t="shared" si="6"/>
        <v>20337.150000000001</v>
      </c>
      <c r="P50" s="174">
        <f t="shared" si="7"/>
        <v>28.16</v>
      </c>
      <c r="Q50" s="175"/>
      <c r="R50" s="174">
        <f t="shared" si="8"/>
        <v>20337.152000000002</v>
      </c>
      <c r="U50" s="151">
        <f t="shared" si="9"/>
        <v>0</v>
      </c>
      <c r="W50" s="41"/>
    </row>
    <row r="51" spans="2:23" s="39" customFormat="1" x14ac:dyDescent="0.25">
      <c r="B51" s="68" t="s">
        <v>76</v>
      </c>
      <c r="C51" s="4">
        <v>88489</v>
      </c>
      <c r="D51" s="67" t="s">
        <v>188</v>
      </c>
      <c r="E51" s="4" t="s">
        <v>10</v>
      </c>
      <c r="F51" s="72">
        <v>625.6</v>
      </c>
      <c r="G51" s="152">
        <v>9.1199999999999992</v>
      </c>
      <c r="H51" s="72">
        <f t="shared" si="5"/>
        <v>11.33</v>
      </c>
      <c r="I51" s="72">
        <f t="shared" si="6"/>
        <v>7088.05</v>
      </c>
      <c r="P51" s="174">
        <f t="shared" si="7"/>
        <v>11.33</v>
      </c>
      <c r="Q51" s="175"/>
      <c r="R51" s="174">
        <f t="shared" si="8"/>
        <v>7088.0480000000007</v>
      </c>
      <c r="U51" s="151">
        <f t="shared" si="9"/>
        <v>0</v>
      </c>
      <c r="W51" s="41"/>
    </row>
    <row r="52" spans="2:23" s="39" customFormat="1" x14ac:dyDescent="0.25">
      <c r="B52" s="68" t="s">
        <v>77</v>
      </c>
      <c r="C52" s="4" t="s">
        <v>38</v>
      </c>
      <c r="D52" s="67" t="s">
        <v>39</v>
      </c>
      <c r="E52" s="4" t="s">
        <v>23</v>
      </c>
      <c r="F52" s="72">
        <v>122</v>
      </c>
      <c r="G52" s="152">
        <v>61.53</v>
      </c>
      <c r="H52" s="72">
        <f t="shared" si="5"/>
        <v>76.44</v>
      </c>
      <c r="I52" s="72">
        <f t="shared" si="6"/>
        <v>9325.68</v>
      </c>
      <c r="P52" s="174">
        <f t="shared" si="7"/>
        <v>76.44</v>
      </c>
      <c r="Q52" s="175"/>
      <c r="R52" s="174">
        <f t="shared" si="8"/>
        <v>9325.68</v>
      </c>
      <c r="U52" s="151">
        <f t="shared" si="9"/>
        <v>0</v>
      </c>
      <c r="W52" s="41"/>
    </row>
    <row r="53" spans="2:23" s="39" customFormat="1" x14ac:dyDescent="0.25">
      <c r="B53" s="167">
        <v>4</v>
      </c>
      <c r="C53" s="168"/>
      <c r="D53" s="167" t="s">
        <v>40</v>
      </c>
      <c r="E53" s="169"/>
      <c r="F53" s="170"/>
      <c r="G53" s="170"/>
      <c r="H53" s="44" t="s">
        <v>187</v>
      </c>
      <c r="I53" s="171">
        <f>SUM(I54:I61)</f>
        <v>47133.42</v>
      </c>
      <c r="P53" s="174">
        <f t="shared" si="7"/>
        <v>0</v>
      </c>
      <c r="Q53" s="175"/>
      <c r="R53" s="174">
        <f t="shared" si="8"/>
        <v>0</v>
      </c>
      <c r="U53" s="151"/>
      <c r="W53" s="41">
        <f>I53</f>
        <v>47133.42</v>
      </c>
    </row>
    <row r="54" spans="2:23" s="39" customFormat="1" x14ac:dyDescent="0.25">
      <c r="B54" s="161" t="s">
        <v>81</v>
      </c>
      <c r="C54" s="155" t="s">
        <v>168</v>
      </c>
      <c r="D54" s="156" t="s">
        <v>169</v>
      </c>
      <c r="E54" s="4" t="s">
        <v>10</v>
      </c>
      <c r="F54" s="152">
        <v>70</v>
      </c>
      <c r="G54" s="152">
        <v>250.17</v>
      </c>
      <c r="H54" s="152">
        <f t="shared" si="5"/>
        <v>310.79000000000002</v>
      </c>
      <c r="I54" s="152">
        <f t="shared" si="6"/>
        <v>21755.3</v>
      </c>
      <c r="P54" s="174">
        <f t="shared" si="7"/>
        <v>310.79000000000002</v>
      </c>
      <c r="Q54" s="175"/>
      <c r="R54" s="174">
        <f t="shared" si="8"/>
        <v>21755.300000000003</v>
      </c>
      <c r="U54" s="151">
        <f t="shared" si="9"/>
        <v>0</v>
      </c>
      <c r="W54" s="41"/>
    </row>
    <row r="55" spans="2:23" s="39" customFormat="1" ht="45" customHeight="1" x14ac:dyDescent="0.25">
      <c r="B55" s="162" t="s">
        <v>86</v>
      </c>
      <c r="C55" s="160" t="s">
        <v>168</v>
      </c>
      <c r="D55" s="164" t="s">
        <v>189</v>
      </c>
      <c r="E55" s="163" t="s">
        <v>10</v>
      </c>
      <c r="F55" s="165">
        <v>10.5</v>
      </c>
      <c r="G55" s="189">
        <v>358.36</v>
      </c>
      <c r="H55" s="32">
        <f t="shared" si="5"/>
        <v>445.19</v>
      </c>
      <c r="I55" s="32">
        <f t="shared" si="6"/>
        <v>4674.5</v>
      </c>
      <c r="P55" s="174">
        <f t="shared" si="7"/>
        <v>445.19</v>
      </c>
      <c r="Q55" s="175"/>
      <c r="R55" s="174">
        <f t="shared" si="8"/>
        <v>4674.4949999999999</v>
      </c>
      <c r="U55" s="151">
        <f t="shared" si="9"/>
        <v>0.01</v>
      </c>
      <c r="W55" s="41"/>
    </row>
    <row r="56" spans="2:23" s="39" customFormat="1" ht="45" x14ac:dyDescent="0.25">
      <c r="B56" s="162" t="s">
        <v>87</v>
      </c>
      <c r="C56" s="160" t="s">
        <v>168</v>
      </c>
      <c r="D56" s="158" t="s">
        <v>180</v>
      </c>
      <c r="E56" s="163" t="s">
        <v>170</v>
      </c>
      <c r="F56" s="165">
        <v>120</v>
      </c>
      <c r="G56" s="189">
        <v>87.5</v>
      </c>
      <c r="H56" s="32">
        <f t="shared" si="5"/>
        <v>108.7</v>
      </c>
      <c r="I56" s="32">
        <f t="shared" si="6"/>
        <v>13044</v>
      </c>
      <c r="P56" s="174">
        <f t="shared" si="7"/>
        <v>108.7</v>
      </c>
      <c r="Q56" s="175"/>
      <c r="R56" s="174">
        <f t="shared" si="8"/>
        <v>13044</v>
      </c>
      <c r="U56" s="151">
        <f t="shared" si="9"/>
        <v>0</v>
      </c>
      <c r="W56" s="41"/>
    </row>
    <row r="57" spans="2:23" s="39" customFormat="1" x14ac:dyDescent="0.25">
      <c r="B57" s="161" t="s">
        <v>88</v>
      </c>
      <c r="C57" s="160" t="s">
        <v>168</v>
      </c>
      <c r="D57" s="154" t="s">
        <v>181</v>
      </c>
      <c r="E57" s="157" t="s">
        <v>170</v>
      </c>
      <c r="F57" s="166">
        <v>364</v>
      </c>
      <c r="G57" s="189">
        <v>2.71</v>
      </c>
      <c r="H57" s="152">
        <f t="shared" si="5"/>
        <v>3.37</v>
      </c>
      <c r="I57" s="152">
        <f t="shared" si="6"/>
        <v>1226.68</v>
      </c>
      <c r="P57" s="174">
        <f t="shared" si="7"/>
        <v>3.37</v>
      </c>
      <c r="Q57" s="175"/>
      <c r="R57" s="174">
        <f t="shared" si="8"/>
        <v>1226.68</v>
      </c>
      <c r="U57" s="151">
        <f t="shared" si="9"/>
        <v>0</v>
      </c>
      <c r="W57" s="41"/>
    </row>
    <row r="58" spans="2:23" s="39" customFormat="1" x14ac:dyDescent="0.25">
      <c r="B58" s="161" t="s">
        <v>176</v>
      </c>
      <c r="C58" s="160" t="s">
        <v>168</v>
      </c>
      <c r="D58" s="159" t="s">
        <v>182</v>
      </c>
      <c r="E58" s="157" t="s">
        <v>170</v>
      </c>
      <c r="F58" s="166">
        <v>534</v>
      </c>
      <c r="G58" s="189">
        <v>3.3</v>
      </c>
      <c r="H58" s="152">
        <f t="shared" si="5"/>
        <v>4.0999999999999996</v>
      </c>
      <c r="I58" s="152">
        <f t="shared" si="6"/>
        <v>2189.4</v>
      </c>
      <c r="P58" s="174">
        <f t="shared" si="7"/>
        <v>4.0999999999999996</v>
      </c>
      <c r="Q58" s="175"/>
      <c r="R58" s="174">
        <f t="shared" si="8"/>
        <v>2189.3999999999996</v>
      </c>
      <c r="U58" s="151">
        <f t="shared" si="9"/>
        <v>0</v>
      </c>
      <c r="W58" s="41"/>
    </row>
    <row r="59" spans="2:23" s="39" customFormat="1" x14ac:dyDescent="0.25">
      <c r="B59" s="161" t="s">
        <v>177</v>
      </c>
      <c r="C59" s="160" t="s">
        <v>168</v>
      </c>
      <c r="D59" s="159" t="s">
        <v>183</v>
      </c>
      <c r="E59" s="157" t="s">
        <v>170</v>
      </c>
      <c r="F59" s="166">
        <v>120</v>
      </c>
      <c r="G59" s="189">
        <v>1.5</v>
      </c>
      <c r="H59" s="152">
        <f t="shared" si="5"/>
        <v>1.86</v>
      </c>
      <c r="I59" s="152">
        <f t="shared" si="6"/>
        <v>223.2</v>
      </c>
      <c r="P59" s="174">
        <f t="shared" si="7"/>
        <v>1.86</v>
      </c>
      <c r="Q59" s="175"/>
      <c r="R59" s="174">
        <f t="shared" si="8"/>
        <v>223.20000000000002</v>
      </c>
      <c r="U59" s="151">
        <f t="shared" si="9"/>
        <v>0</v>
      </c>
      <c r="W59" s="41"/>
    </row>
    <row r="60" spans="2:23" s="39" customFormat="1" x14ac:dyDescent="0.25">
      <c r="B60" s="161" t="s">
        <v>178</v>
      </c>
      <c r="C60" s="160" t="s">
        <v>168</v>
      </c>
      <c r="D60" s="159" t="s">
        <v>184</v>
      </c>
      <c r="E60" s="157" t="s">
        <v>171</v>
      </c>
      <c r="F60" s="166">
        <v>1</v>
      </c>
      <c r="G60" s="189">
        <v>1450</v>
      </c>
      <c r="H60" s="152">
        <f t="shared" si="5"/>
        <v>1801.34</v>
      </c>
      <c r="I60" s="152">
        <f t="shared" si="6"/>
        <v>1801.34</v>
      </c>
      <c r="P60" s="174">
        <f t="shared" si="7"/>
        <v>1801.34</v>
      </c>
      <c r="Q60" s="175"/>
      <c r="R60" s="174">
        <f t="shared" si="8"/>
        <v>1801.34</v>
      </c>
      <c r="U60" s="151">
        <f t="shared" si="9"/>
        <v>0</v>
      </c>
      <c r="W60" s="41"/>
    </row>
    <row r="61" spans="2:23" s="39" customFormat="1" x14ac:dyDescent="0.25">
      <c r="B61" s="161" t="s">
        <v>179</v>
      </c>
      <c r="C61" s="160" t="s">
        <v>185</v>
      </c>
      <c r="D61" s="159" t="s">
        <v>186</v>
      </c>
      <c r="E61" s="157" t="s">
        <v>105</v>
      </c>
      <c r="F61" s="166">
        <v>70</v>
      </c>
      <c r="G61" s="189">
        <v>25.52</v>
      </c>
      <c r="H61" s="152">
        <f t="shared" si="5"/>
        <v>31.7</v>
      </c>
      <c r="I61" s="152">
        <f t="shared" si="6"/>
        <v>2219</v>
      </c>
      <c r="P61" s="174">
        <f t="shared" si="7"/>
        <v>31.7</v>
      </c>
      <c r="Q61" s="175"/>
      <c r="R61" s="174">
        <f t="shared" si="8"/>
        <v>2219</v>
      </c>
      <c r="U61" s="151">
        <f t="shared" si="9"/>
        <v>0</v>
      </c>
      <c r="W61" s="41"/>
    </row>
    <row r="62" spans="2:23" s="39" customFormat="1" x14ac:dyDescent="0.25">
      <c r="B62" s="6">
        <v>5</v>
      </c>
      <c r="C62" s="33"/>
      <c r="D62" s="27" t="s">
        <v>80</v>
      </c>
      <c r="E62" s="27"/>
      <c r="F62" s="5"/>
      <c r="G62" s="5"/>
      <c r="H62" s="44" t="s">
        <v>187</v>
      </c>
      <c r="I62" s="5">
        <f>SUM(I63:I66)</f>
        <v>32975.9</v>
      </c>
      <c r="P62" s="174"/>
      <c r="Q62" s="175"/>
      <c r="R62" s="174"/>
      <c r="U62" s="151"/>
      <c r="W62" s="41">
        <f>I62</f>
        <v>32975.9</v>
      </c>
    </row>
    <row r="63" spans="2:23" ht="15" customHeight="1" x14ac:dyDescent="0.25">
      <c r="B63" s="4" t="s">
        <v>99</v>
      </c>
      <c r="C63" s="4">
        <v>72961</v>
      </c>
      <c r="D63" s="3" t="s">
        <v>85</v>
      </c>
      <c r="E63" s="4" t="s">
        <v>10</v>
      </c>
      <c r="F63" s="7">
        <v>400</v>
      </c>
      <c r="G63" s="32">
        <v>1.17</v>
      </c>
      <c r="H63" s="17">
        <f>ROUND(G63*(1+$I$41),2)</f>
        <v>1.45</v>
      </c>
      <c r="I63" s="17">
        <f>ROUND(F63*H63,2)</f>
        <v>580</v>
      </c>
      <c r="P63" s="174">
        <f t="shared" si="7"/>
        <v>1.45</v>
      </c>
      <c r="Q63" s="175"/>
      <c r="R63" s="174">
        <f t="shared" si="8"/>
        <v>580</v>
      </c>
      <c r="U63" s="151">
        <f t="shared" si="3"/>
        <v>0</v>
      </c>
    </row>
    <row r="64" spans="2:23" s="35" customFormat="1" ht="30" customHeight="1" x14ac:dyDescent="0.25">
      <c r="B64" s="4" t="s">
        <v>100</v>
      </c>
      <c r="C64" s="34" t="s">
        <v>83</v>
      </c>
      <c r="D64" s="10" t="s">
        <v>84</v>
      </c>
      <c r="E64" s="34" t="s">
        <v>10</v>
      </c>
      <c r="F64" s="37">
        <v>400</v>
      </c>
      <c r="G64" s="26">
        <v>49.63</v>
      </c>
      <c r="H64" s="37">
        <f>ROUND(G64*(1+$I$41),2)</f>
        <v>61.66</v>
      </c>
      <c r="I64" s="37">
        <f t="shared" ref="I64:I70" si="10">ROUND(F64*H64,2)</f>
        <v>24664</v>
      </c>
      <c r="P64" s="174">
        <f t="shared" si="7"/>
        <v>61.66</v>
      </c>
      <c r="Q64" s="175"/>
      <c r="R64" s="174">
        <f t="shared" si="8"/>
        <v>24664</v>
      </c>
      <c r="U64" s="151">
        <f t="shared" si="3"/>
        <v>0</v>
      </c>
      <c r="W64" s="177"/>
    </row>
    <row r="65" spans="2:23" ht="45" customHeight="1" x14ac:dyDescent="0.25">
      <c r="B65" s="4" t="s">
        <v>101</v>
      </c>
      <c r="C65" s="4">
        <v>94273</v>
      </c>
      <c r="D65" s="10" t="s">
        <v>89</v>
      </c>
      <c r="E65" s="4" t="s">
        <v>91</v>
      </c>
      <c r="F65" s="17">
        <v>110</v>
      </c>
      <c r="G65" s="32">
        <v>32.64</v>
      </c>
      <c r="H65" s="17">
        <f>ROUND(G65*(1+$I$41),2)</f>
        <v>40.549999999999997</v>
      </c>
      <c r="I65" s="17">
        <f t="shared" si="10"/>
        <v>4460.5</v>
      </c>
      <c r="P65" s="174">
        <f t="shared" si="7"/>
        <v>40.549999999999997</v>
      </c>
      <c r="Q65" s="175"/>
      <c r="R65" s="174">
        <f t="shared" si="8"/>
        <v>4460.5</v>
      </c>
      <c r="U65" s="151">
        <f t="shared" si="3"/>
        <v>0</v>
      </c>
    </row>
    <row r="66" spans="2:23" ht="30" customHeight="1" x14ac:dyDescent="0.25">
      <c r="B66" s="4" t="s">
        <v>172</v>
      </c>
      <c r="C66" s="4">
        <v>94287</v>
      </c>
      <c r="D66" s="10" t="s">
        <v>90</v>
      </c>
      <c r="E66" s="4" t="s">
        <v>23</v>
      </c>
      <c r="F66" s="17">
        <v>110</v>
      </c>
      <c r="G66" s="32">
        <v>23.94</v>
      </c>
      <c r="H66" s="17">
        <f>ROUND(G66*(1+$I$41),2)</f>
        <v>29.74</v>
      </c>
      <c r="I66" s="17">
        <f t="shared" si="10"/>
        <v>3271.4</v>
      </c>
      <c r="P66" s="174">
        <f t="shared" si="7"/>
        <v>29.74</v>
      </c>
      <c r="Q66" s="175"/>
      <c r="R66" s="174">
        <f t="shared" si="8"/>
        <v>3271.3999999999996</v>
      </c>
      <c r="U66" s="151">
        <f t="shared" si="3"/>
        <v>0</v>
      </c>
    </row>
    <row r="67" spans="2:23" x14ac:dyDescent="0.25">
      <c r="B67" s="6">
        <v>6</v>
      </c>
      <c r="C67" s="27"/>
      <c r="D67" s="27" t="s">
        <v>98</v>
      </c>
      <c r="E67" s="27"/>
      <c r="F67" s="5"/>
      <c r="G67" s="5"/>
      <c r="H67" s="44" t="s">
        <v>187</v>
      </c>
      <c r="I67" s="44">
        <f>I68+I69+I70</f>
        <v>13840.4</v>
      </c>
      <c r="P67" s="174"/>
      <c r="Q67" s="175"/>
      <c r="R67" s="174"/>
      <c r="U67" s="151"/>
      <c r="W67" s="151">
        <f>I67</f>
        <v>13840.4</v>
      </c>
    </row>
    <row r="68" spans="2:23" x14ac:dyDescent="0.25">
      <c r="B68" s="2" t="s">
        <v>173</v>
      </c>
      <c r="C68" s="4">
        <v>85180</v>
      </c>
      <c r="D68" s="3" t="s">
        <v>41</v>
      </c>
      <c r="E68" s="4" t="s">
        <v>10</v>
      </c>
      <c r="F68" s="7">
        <v>500</v>
      </c>
      <c r="G68" s="152">
        <v>11.8</v>
      </c>
      <c r="H68" s="17">
        <f>ROUND(G68*(1+$I$41),2)</f>
        <v>14.66</v>
      </c>
      <c r="I68" s="17">
        <f t="shared" si="10"/>
        <v>7330</v>
      </c>
      <c r="P68" s="174">
        <f t="shared" si="7"/>
        <v>14.66</v>
      </c>
      <c r="Q68" s="175"/>
      <c r="R68" s="174">
        <f t="shared" si="8"/>
        <v>7330</v>
      </c>
      <c r="U68" s="151">
        <f t="shared" si="3"/>
        <v>0</v>
      </c>
    </row>
    <row r="69" spans="2:23" x14ac:dyDescent="0.25">
      <c r="B69" s="148" t="s">
        <v>174</v>
      </c>
      <c r="C69" s="4" t="s">
        <v>42</v>
      </c>
      <c r="D69" s="3" t="s">
        <v>43</v>
      </c>
      <c r="E69" s="4" t="s">
        <v>10</v>
      </c>
      <c r="F69" s="7">
        <v>85</v>
      </c>
      <c r="G69" s="152">
        <v>37.22</v>
      </c>
      <c r="H69" s="17">
        <f>ROUND(G69*(1+$I$41),2)</f>
        <v>46.24</v>
      </c>
      <c r="I69" s="17">
        <f t="shared" si="10"/>
        <v>3930.4</v>
      </c>
      <c r="P69" s="174">
        <f t="shared" si="7"/>
        <v>46.24</v>
      </c>
      <c r="Q69" s="175"/>
      <c r="R69" s="174">
        <f t="shared" si="8"/>
        <v>3930.4</v>
      </c>
      <c r="U69" s="151">
        <f t="shared" si="3"/>
        <v>0</v>
      </c>
    </row>
    <row r="70" spans="2:23" x14ac:dyDescent="0.25">
      <c r="B70" s="148" t="s">
        <v>175</v>
      </c>
      <c r="C70" s="4" t="s">
        <v>59</v>
      </c>
      <c r="D70" s="3" t="s">
        <v>60</v>
      </c>
      <c r="E70" s="4" t="s">
        <v>10</v>
      </c>
      <c r="F70" s="7">
        <v>500</v>
      </c>
      <c r="G70" s="152">
        <v>4.1500000000000004</v>
      </c>
      <c r="H70" s="17">
        <f>ROUND(G70*(1+$I$41),2)</f>
        <v>5.16</v>
      </c>
      <c r="I70" s="17">
        <f t="shared" si="10"/>
        <v>2580</v>
      </c>
      <c r="P70" s="174">
        <f t="shared" si="7"/>
        <v>5.16</v>
      </c>
      <c r="Q70" s="175"/>
      <c r="R70" s="174">
        <f t="shared" si="8"/>
        <v>2580</v>
      </c>
      <c r="U70" s="151">
        <f t="shared" si="3"/>
        <v>0</v>
      </c>
    </row>
    <row r="71" spans="2:23" x14ac:dyDescent="0.25">
      <c r="B71" s="2"/>
      <c r="C71" s="4"/>
      <c r="D71" s="3"/>
      <c r="E71" s="4"/>
      <c r="F71" s="7"/>
      <c r="G71" s="7"/>
      <c r="H71" s="17"/>
      <c r="I71" s="17"/>
    </row>
    <row r="72" spans="2:23" x14ac:dyDescent="0.25">
      <c r="B72" s="2"/>
      <c r="C72" s="4"/>
      <c r="D72" s="3"/>
      <c r="E72" s="4"/>
      <c r="F72" s="7"/>
      <c r="G72" s="7"/>
      <c r="H72" s="17"/>
      <c r="I72" s="17"/>
    </row>
    <row r="73" spans="2:23" x14ac:dyDescent="0.25">
      <c r="B73" s="2"/>
      <c r="C73" s="4"/>
      <c r="D73" s="3"/>
      <c r="E73" s="4"/>
      <c r="F73" s="7"/>
      <c r="G73" s="7"/>
      <c r="H73" s="17"/>
      <c r="I73" s="17"/>
    </row>
    <row r="74" spans="2:23" x14ac:dyDescent="0.25">
      <c r="B74" s="6"/>
      <c r="C74" s="27"/>
      <c r="D74" s="45" t="s">
        <v>44</v>
      </c>
      <c r="E74" s="27"/>
      <c r="F74" s="5"/>
      <c r="G74" s="5"/>
      <c r="H74" s="5"/>
      <c r="I74" s="44">
        <f>I9+I17+I47+I53+I62+I67</f>
        <v>273434.43</v>
      </c>
      <c r="R74" s="18">
        <f>SUM(R10:R73)</f>
        <v>273434.43290000001</v>
      </c>
      <c r="W74" s="151">
        <f>SUM(W9:W73)</f>
        <v>273434.43</v>
      </c>
    </row>
    <row r="75" spans="2:23" x14ac:dyDescent="0.25">
      <c r="B75" s="53"/>
      <c r="C75" s="144" t="s">
        <v>63</v>
      </c>
      <c r="D75" s="12"/>
      <c r="E75" s="144"/>
      <c r="F75" s="20"/>
      <c r="G75" s="20"/>
      <c r="H75" s="20"/>
      <c r="I75" s="21"/>
    </row>
    <row r="76" spans="2:23" x14ac:dyDescent="0.25">
      <c r="B76" s="54"/>
      <c r="C76" s="15"/>
      <c r="D76" s="149" t="s">
        <v>64</v>
      </c>
      <c r="E76" s="15"/>
      <c r="F76" s="16"/>
      <c r="G76" s="16"/>
      <c r="H76" s="16"/>
      <c r="I76" s="22"/>
      <c r="R76" s="18">
        <f>I74-R74</f>
        <v>-2.900000021327287E-3</v>
      </c>
    </row>
    <row r="77" spans="2:23" x14ac:dyDescent="0.25">
      <c r="B77" s="181"/>
      <c r="C77" s="182"/>
      <c r="D77" s="183" t="s">
        <v>65</v>
      </c>
      <c r="E77" s="182"/>
      <c r="F77" s="184"/>
      <c r="G77" s="184"/>
      <c r="H77" s="184"/>
      <c r="I77" s="185"/>
    </row>
    <row r="81" spans="16:16" x14ac:dyDescent="0.25">
      <c r="P81" s="26">
        <f>36*3</f>
        <v>108</v>
      </c>
    </row>
  </sheetData>
  <mergeCells count="12">
    <mergeCell ref="I6:I7"/>
    <mergeCell ref="E5:H5"/>
    <mergeCell ref="B2:C4"/>
    <mergeCell ref="C6:C7"/>
    <mergeCell ref="G6:G7"/>
    <mergeCell ref="H6:H7"/>
    <mergeCell ref="I45:I46"/>
    <mergeCell ref="C45:C46"/>
    <mergeCell ref="C8:C9"/>
    <mergeCell ref="B40:C42"/>
    <mergeCell ref="G45:G46"/>
    <mergeCell ref="H45:H46"/>
  </mergeCells>
  <pageMargins left="0.51181102362204722" right="0.51181102362204722" top="0.78740157480314965" bottom="0.78740157480314965" header="0.31496062992125984" footer="0.31496062992125984"/>
  <pageSetup paperSize="9" scale="66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MEMÓRIA DE CÁLCULO</vt:lpstr>
      <vt:lpstr>PLANILHA DE ORÇAMENTO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 LOPES PROCOPIO</dc:creator>
  <cp:lastModifiedBy>NEY LOPES PROCOPIO</cp:lastModifiedBy>
  <cp:lastPrinted>2018-10-25T11:47:51Z</cp:lastPrinted>
  <dcterms:created xsi:type="dcterms:W3CDTF">2018-08-30T15:03:02Z</dcterms:created>
  <dcterms:modified xsi:type="dcterms:W3CDTF">2018-11-06T18:50:48Z</dcterms:modified>
</cp:coreProperties>
</file>